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<sst xmlns="http://schemas.openxmlformats.org/spreadsheetml/2006/main" count="4976" uniqueCount="3029">
  <si>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</si>
  <si>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</si>
  <si>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</si>
  <si>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</si>
  <si>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</si>
  <si>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</si>
  <si>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</si>
  <si>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</si>
  <si>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</si>
  <si>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</si>
  <si>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</si>
  <si>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</si>
  <si>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</si>
  <si>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</si>
  <si>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</si>
  <si>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</si>
  <si>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</si>
  <si>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</si>
  <si>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</si>
  <si>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</si>
  <si>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</si>
  <si>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</si>
  <si>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</si>
  <si>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</si>
  <si>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</si>
  <si>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</si>
  <si>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</si>
  <si>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</si>
  <si>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</si>
  <si>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</si>
  <si>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</si>
  <si>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</si>
  <si>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</si>
  <si>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</si>
  <si>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</si>
  <si>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</si>
  <si>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</si>
  <si>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</si>
  <si>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</si>
  <si>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</si>
  <si>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</si>
  <si>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</si>
  <si>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</si>
  <si>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</si>
  <si>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</si>
  <si>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</si>
  <si>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</si>
  <si>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</si>
  <si>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</si>
  <si>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</si>
  <si>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</si>
  <si>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</si>
  <si>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</si>
  <si>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</si>
  <si>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</si>
  <si>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</si>
  <si>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</si>
  <si>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</si>
  <si>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</si>
  <si>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</si>
  <si>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</si>
  <si>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</si>
  <si>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</si>
  <si>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</si>
  <si>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</si>
  <si>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</si>
  <si>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</si>
  <si>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</si>
  <si>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</si>
  <si>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</si>
  <si>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</si>
  <si>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</si>
  <si>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</si>
  <si>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</si>
  <si>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</si>
  <si>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</si>
  <si>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</si>
  <si>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</si>
  <si>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</si>
  <si>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</si>
  <si>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</si>
  <si>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</si>
  <si>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</si>
  <si>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</si>
  <si>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</si>
  <si>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</si>
  <si>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</si>
  <si>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</si>
  <si>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</si>
  <si>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</si>
  <si>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</si>
  <si>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</si>
  <si>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</si>
  <si>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</si>
  <si>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</si>
  <si>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</si>
  <si>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</si>
  <si>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</si>
  <si>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</si>
  <si>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</si>
  <si>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</si>
  <si>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</si>
  <si>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</si>
  <si>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</si>
  <si>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</si>
  <si>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</si>
  <si>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</si>
  <si>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</si>
  <si>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</si>
  <si>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</si>
  <si>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</si>
  <si>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</si>
  <si>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</si>
  <si>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</si>
  <si>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</si>
  <si>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</si>
  <si>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</si>
  <si>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</si>
  <si>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</si>
  <si>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</si>
  <si>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</si>
  <si>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</si>
  <si>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</si>
  <si>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</si>
  <si>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</si>
  <si>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</si>
  <si>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</si>
  <si>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</si>
  <si>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</si>
  <si>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</si>
  <si>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</si>
  <si>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</si>
  <si>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</si>
  <si>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</si>
  <si>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</si>
  <si>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</si>
  <si>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</si>
  <si>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</si>
  <si>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</si>
  <si>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</si>
  <si>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</si>
  <si>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</si>
  <si>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</si>
  <si>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</si>
  <si>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</si>
  <si>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</si>
  <si>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</si>
  <si>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</si>
  <si>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</si>
  <si>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</si>
  <si>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</si>
  <si>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</si>
  <si>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</si>
  <si>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</si>
  <si>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</si>
  <si>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</si>
  <si>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</si>
  <si>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</si>
  <si>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</si>
  <si>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</si>
  <si>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</si>
  <si>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</si>
  <si>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</si>
  <si>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</si>
  <si>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</si>
  <si>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</si>
  <si>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</si>
  <si>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</si>
  <si>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</si>
  <si>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</si>
  <si>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</si>
  <si>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</si>
  <si>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</si>
  <si>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</si>
  <si>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</si>
  <si>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</si>
  <si>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</si>
  <si>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</si>
  <si>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</si>
  <si>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</si>
  <si>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</si>
  <si>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</si>
  <si>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</si>
  <si>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</si>
  <si>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</si>
  <si>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</si>
  <si>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</si>
  <si>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</si>
  <si>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</si>
  <si>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</si>
  <si>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</si>
  <si>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</si>
  <si>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</si>
  <si>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</si>
  <si>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</si>
  <si>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</si>
  <si>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</si>
  <si>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</si>
  <si>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</si>
  <si>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</si>
  <si>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</si>
  <si>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</si>
  <si>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</si>
  <si>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</si>
  <si>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</si>
  <si>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</si>
  <si>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</si>
  <si>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</si>
  <si>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</si>
  <si>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</si>
  <si>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</si>
  <si>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</si>
  <si>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</si>
  <si>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</si>
  <si>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</si>
  <si>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</si>
  <si>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</si>
  <si>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</si>
  <si>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</si>
  <si>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</si>
  <si>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</si>
  <si>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</si>
  <si>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</si>
  <si>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</si>
  <si>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</si>
  <si>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</si>
  <si>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</si>
  <si>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</si>
  <si>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</si>
  <si>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</si>
  <si>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</si>
  <si>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</si>
  <si>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</si>
  <si>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</si>
  <si>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</si>
  <si>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</si>
  <si>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</si>
  <si>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</si>
  <si>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</si>
  <si>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</si>
  <si>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</si>
  <si>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</si>
  <si>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</si>
  <si>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</si>
  <si>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</si>
  <si>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</si>
  <si>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</si>
  <si>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</si>
  <si>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</si>
  <si>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</si>
  <si>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</si>
  <si>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</si>
  <si>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</si>
  <si>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</si>
  <si>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</si>
  <si>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</si>
  <si>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</si>
  <si>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</si>
  <si>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</si>
  <si>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</si>
  <si>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</si>
  <si>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</si>
  <si>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</si>
  <si>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</si>
  <si>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</si>
  <si>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</si>
  <si>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</si>
  <si>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</si>
  <si>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</si>
  <si>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</si>
  <si>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</si>
  <si>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</si>
  <si>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</si>
  <si>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</si>
  <si>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</si>
  <si>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</si>
  <si>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</si>
  <si>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</si>
  <si>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</si>
  <si>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</si>
  <si>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</si>
  <si>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</si>
  <si>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</si>
  <si>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</si>
  <si>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</si>
  <si>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</si>
  <si>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</si>
  <si>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</si>
  <si>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</si>
  <si>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</si>
  <si>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</si>
  <si>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</si>
  <si>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</si>
  <si>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</si>
  <si>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</si>
  <si>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</si>
  <si>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</si>
  <si>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</si>
  <si>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</si>
  <si>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</si>
  <si>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</si>
  <si>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</si>
  <si>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</si>
  <si>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</si>
  <si>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</si>
  <si>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</si>
  <si>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</si>
  <si>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</si>
  <si>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</si>
  <si>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</si>
  <si>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</si>
  <si>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</si>
  <si>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</si>
  <si>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</si>
  <si>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</si>
  <si>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</si>
  <si>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</si>
  <si>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</si>
  <si>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</si>
  <si>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</si>
  <si>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</si>
  <si>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</si>
  <si>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</si>
  <si>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</si>
  <si>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</si>
  <si>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</si>
  <si>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</si>
  <si>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</si>
  <si>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</si>
  <si>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</si>
  <si>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</si>
  <si>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</si>
  <si>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</si>
  <si>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</si>
  <si>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</si>
  <si>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</si>
  <si>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</si>
  <si>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</si>
  <si>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</si>
  <si>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</si>
  <si>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</si>
  <si>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</si>
  <si>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</si>
  <si>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</si>
  <si>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</si>
  <si>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</si>
  <si>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</si>
  <si>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</si>
  <si>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</si>
  <si>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</si>
  <si>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</si>
  <si>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</si>
  <si>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</si>
  <si>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</si>
  <si>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</si>
  <si>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</si>
  <si>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</si>
  <si>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</si>
  <si>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</si>
  <si>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</si>
  <si>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</si>
  <si>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</si>
  <si>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</si>
  <si>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</si>
  <si>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</si>
  <si>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</si>
  <si>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</si>
  <si>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</si>
  <si>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</si>
  <si>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</si>
  <si>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</si>
  <si>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</si>
  <si>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</si>
  <si>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</si>
  <si>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</si>
  <si>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</si>
  <si>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</si>
  <si>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</si>
  <si>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</si>
  <si>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</si>
  <si>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</si>
  <si>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</si>
  <si>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</si>
  <si>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</si>
  <si>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</si>
  <si>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</si>
  <si>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</si>
  <si>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</si>
  <si>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</si>
  <si>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</si>
  <si>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</si>
  <si>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</si>
  <si>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</si>
  <si>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</si>
  <si>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</si>
  <si>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</si>
  <si>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</si>
  <si>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</si>
  <si>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</si>
  <si>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</si>
  <si>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</si>
  <si>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</si>
  <si>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</si>
  <si>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</si>
  <si>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</si>
  <si>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</si>
  <si>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</si>
  <si>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</si>
  <si>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</si>
  <si>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</si>
  <si>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</si>
  <si>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</si>
  <si>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</si>
  <si>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</si>
  <si>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</si>
  <si>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</si>
  <si>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</si>
  <si>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</si>
  <si>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</si>
  <si>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</si>
  <si>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</si>
  <si>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</si>
  <si>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</si>
  <si>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</si>
  <si>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</si>
  <si>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</si>
  <si>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</si>
  <si>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</si>
  <si>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</si>
  <si>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</si>
  <si>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</si>
  <si>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</si>
  <si>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</si>
  <si>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</si>
  <si>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</si>
  <si>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</si>
  <si>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</si>
  <si>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</si>
  <si>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</si>
  <si>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</si>
  <si>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</si>
  <si>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</si>
  <si>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</si>
  <si>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</si>
  <si>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</si>
  <si>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</si>
  <si>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</si>
  <si>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</si>
  <si>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</si>
  <si>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</si>
  <si>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</si>
  <si>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</si>
  <si>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</si>
  <si>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</si>
  <si>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</si>
  <si>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</si>
  <si>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</si>
  <si>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</si>
  <si>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</si>
  <si>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</si>
  <si>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</si>
  <si>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</si>
  <si>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</si>
  <si>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</si>
  <si>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</si>
  <si>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</si>
  <si>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</si>
  <si>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</si>
  <si>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</si>
  <si>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</si>
  <si>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</si>
  <si>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</si>
  <si>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</si>
  <si>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</si>
  <si>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</si>
  <si>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</si>
  <si>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</si>
  <si>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</si>
  <si>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</si>
  <si>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</si>
  <si>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</si>
  <si>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</si>
  <si>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</si>
  <si>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</si>
  <si>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</si>
  <si>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</si>
  <si>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</si>
  <si>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</si>
  <si>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</si>
  <si>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</si>
  <si>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</si>
  <si>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</si>
  <si>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</si>
  <si>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</si>
  <si>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</si>
  <si>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</si>
  <si>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</si>
  <si>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</si>
  <si>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</si>
  <si>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</si>
  <si>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</si>
  <si>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</si>
  <si>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</si>
  <si>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</si>
  <si>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</si>
  <si>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</si>
  <si>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</si>
  <si>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</si>
  <si>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</si>
  <si>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</si>
  <si>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</si>
  <si>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</si>
  <si>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</si>
  <si>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</si>
  <si>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</si>
  <si>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</si>
  <si>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</si>
  <si>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</si>
  <si>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</si>
  <si>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</si>
  <si>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</si>
  <si>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</si>
  <si>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</si>
  <si>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</si>
  <si>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</si>
  <si>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</si>
  <si>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</si>
  <si>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</si>
  <si>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</si>
  <si>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</si>
  <si>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</si>
  <si>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</si>
  <si>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</si>
  <si>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</si>
  <si>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</si>
  <si>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</si>
  <si>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</si>
  <si>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</si>
  <si>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</si>
  <si>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</si>
  <si>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</si>
  <si>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</si>
  <si>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</si>
  <si>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</si>
  <si>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</si>
  <si>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</si>
  <si>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</si>
  <si>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</si>
  <si>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</si>
  <si>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</si>
  <si>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</si>
  <si>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</si>
  <si>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</si>
  <si>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</si>
  <si>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</si>
  <si>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</si>
  <si>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</si>
  <si>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</si>
  <si>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</si>
  <si>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</si>
  <si>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</si>
  <si>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</si>
  <si>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</si>
  <si>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</si>
  <si>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</si>
  <si>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</si>
  <si>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</si>
  <si>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</si>
  <si>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</si>
  <si>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</si>
  <si>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</si>
  <si>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</si>
  <si>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</si>
  <si>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</si>
  <si>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</si>
  <si>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</si>
  <si>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</si>
  <si>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</si>
  <si>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</si>
  <si>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</si>
  <si>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</si>
  <si>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</si>
  <si>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</si>
  <si>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</si>
  <si>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</si>
  <si>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</si>
  <si>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</si>
  <si>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</si>
  <si>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</si>
  <si>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</si>
  <si>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</si>
  <si>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</si>
  <si>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</si>
  <si>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</si>
  <si>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</si>
  <si>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</si>
  <si>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</si>
  <si>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</si>
  <si>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</si>
  <si>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</si>
  <si>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</si>
  <si>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</si>
  <si>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</si>
  <si>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</si>
  <si>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</si>
  <si>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</si>
  <si>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</si>
  <si>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</si>
  <si>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</si>
  <si>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</si>
  <si>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</si>
  <si>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</si>
  <si>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</si>
  <si>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</si>
  <si>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</si>
  <si>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</si>
  <si>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</si>
  <si>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</si>
  <si>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</si>
  <si>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</si>
  <si>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</si>
  <si>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</si>
  <si>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</si>
  <si>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</si>
  <si>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</si>
  <si>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</si>
  <si>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</si>
  <si>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</si>
  <si>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</si>
  <si>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</si>
  <si>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</si>
  <si>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</si>
  <si>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</si>
  <si>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</si>
  <si>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</si>
  <si>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</si>
  <si>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</si>
  <si>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</si>
  <si>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</si>
  <si>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</si>
  <si>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</si>
  <si>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</si>
  <si>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</si>
  <si>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</si>
  <si>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</si>
  <si>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</si>
  <si>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</si>
  <si>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</si>
  <si>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</si>
  <si>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</si>
  <si>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</si>
  <si>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</si>
  <si>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</si>
  <si>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</si>
  <si>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</si>
  <si>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</si>
  <si>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</si>
  <si>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</si>
  <si>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</si>
  <si>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</si>
  <si>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</si>
  <si>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</si>
  <si>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</si>
  <si>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</si>
  <si>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</si>
  <si>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</si>
  <si>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</si>
  <si>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</si>
  <si>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</si>
  <si>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</si>
  <si>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</si>
  <si>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</si>
  <si>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</si>
  <si>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</si>
  <si>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</si>
  <si>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</si>
  <si>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</si>
  <si>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</si>
  <si>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</si>
  <si>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</si>
  <si>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</si>
  <si>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</si>
  <si>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</si>
  <si>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</si>
  <si>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</si>
  <si>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</si>
  <si>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</si>
  <si>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</si>
  <si>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</si>
  <si>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</si>
  <si>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</si>
  <si>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</si>
  <si>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</si>
  <si>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</si>
  <si>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</si>
  <si>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</si>
  <si>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</si>
  <si>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</si>
  <si>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</si>
  <si>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</si>
  <si>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</si>
  <si>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</si>
  <si>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</si>
  <si>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</si>
  <si>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</si>
  <si>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</si>
  <si>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</si>
  <si>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</si>
  <si>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</si>
  <si>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</si>
  <si>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</si>
  <si>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</si>
  <si>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</si>
  <si>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</si>
  <si>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</si>
  <si>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</si>
  <si>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</si>
  <si>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</si>
  <si>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</si>
  <si>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</si>
  <si>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</si>
  <si>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</si>
  <si>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</si>
  <si>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</si>
  <si>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</si>
  <si>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</si>
  <si>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</si>
  <si>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</si>
  <si>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</si>
  <si>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</si>
  <si>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</si>
  <si>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</si>
  <si>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</si>
  <si>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</si>
  <si>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</si>
  <si>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</si>
  <si>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</si>
  <si>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</si>
  <si>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</si>
  <si>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</si>
  <si>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</si>
  <si>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</si>
  <si>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</si>
  <si>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</si>
  <si>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</si>
  <si>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</si>
  <si>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</si>
  <si>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</si>
  <si>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</si>
  <si>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</si>
  <si>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</si>
  <si>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</si>
  <si>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</si>
  <si>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</si>
  <si>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</si>
  <si>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</si>
  <si>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</si>
  <si>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</si>
  <si>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</si>
  <si>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</si>
  <si>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</si>
  <si>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</si>
  <si>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</si>
  <si>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</si>
  <si>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</si>
  <si>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</si>
  <si>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</si>
  <si>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</si>
  <si>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</si>
  <si>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</si>
  <si>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</si>
  <si>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</si>
  <si>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</si>
  <si>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</si>
  <si>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</si>
  <si>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</si>
  <si>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</si>
  <si>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</si>
  <si>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</si>
  <si>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</si>
  <si>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</si>
  <si>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</si>
  <si>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</si>
  <si>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</si>
  <si>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</si>
  <si>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</si>
  <si>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</si>
  <si>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</si>
  <si>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</si>
  <si>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</si>
  <si>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</si>
  <si>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</si>
  <si>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</si>
  <si>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</si>
  <si>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</si>
  <si>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</si>
  <si>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</si>
  <si>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</si>
  <si>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</si>
  <si>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</si>
  <si>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</si>
  <si>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</si>
  <si>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</si>
  <si>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</si>
  <si>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</si>
  <si>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</si>
  <si>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</si>
  <si>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</si>
  <si>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</si>
  <si>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</si>
  <si>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</si>
  <si>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</si>
  <si>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</si>
  <si>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</si>
  <si>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</si>
  <si>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</si>
  <si>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</si>
  <si>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</si>
  <si>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</si>
  <si>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</si>
  <si>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</si>
  <si>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</si>
  <si>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</si>
  <si>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</si>
  <si>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</si>
  <si>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</si>
  <si>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</si>
  <si>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</si>
  <si>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</si>
  <si>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</si>
  <si>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</si>
  <si>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</si>
  <si>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</si>
  <si>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</si>
  <si>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</si>
  <si>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</si>
  <si>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</si>
  <si>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</si>
  <si>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</si>
  <si>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</si>
  <si>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</si>
  <si>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</si>
  <si>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</si>
  <si>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</si>
  <si>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</si>
  <si>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</si>
  <si>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</si>
  <si>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</si>
  <si>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</si>
  <si>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</si>
  <si>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</si>
  <si>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</si>
  <si>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</si>
  <si>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</si>
  <si>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</si>
  <si>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</si>
  <si>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</si>
  <si>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</si>
  <si>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</si>
  <si>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</si>
  <si>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</si>
  <si>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</si>
  <si>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</si>
  <si>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</si>
  <si>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</si>
  <si>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</si>
  <si>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</si>
  <si>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</si>
  <si>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</si>
  <si>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</si>
  <si>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</si>
  <si>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</si>
  <si>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</si>
  <si>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</si>
  <si>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</si>
  <si>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</si>
  <si>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</si>
  <si>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</si>
  <si>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</si>
  <si>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</si>
  <si>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</si>
  <si>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</si>
  <si>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</si>
  <si>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</si>
  <si>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</si>
  <si>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</si>
  <si>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</si>
  <si>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</si>
  <si>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</si>
  <si>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</si>
  <si>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</si>
  <si>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</si>
  <si>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</si>
  <si>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</si>
  <si>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</si>
  <si>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</si>
  <si>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</si>
  <si>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</si>
  <si>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</si>
  <si>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</si>
  <si>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</si>
  <si>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</si>
  <si>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</si>
  <si>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</si>
  <si>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</si>
  <si>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</si>
  <si>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</si>
  <si>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</si>
  <si>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</si>
  <si>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</si>
  <si>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</si>
  <si>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</si>
  <si>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</si>
  <si>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</si>
  <si>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</si>
  <si>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</si>
  <si>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</si>
  <si>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</si>
  <si>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</si>
  <si>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</si>
  <si>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</si>
  <si>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</si>
  <si>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</si>
  <si>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</si>
  <si>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</si>
  <si>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</si>
  <si>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</si>
  <si>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</si>
  <si>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</si>
  <si>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</si>
  <si>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</si>
  <si>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</si>
  <si>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</si>
  <si>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</si>
  <si>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</si>
  <si>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</si>
  <si>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</si>
  <si>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</si>
  <si>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</si>
  <si>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</si>
  <si>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</si>
  <si>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</si>
  <si>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</si>
  <si>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</si>
  <si>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</si>
  <si>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</si>
  <si>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</si>
  <si>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</si>
  <si>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</si>
  <si>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</si>
  <si>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</si>
  <si>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</si>
  <si>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</si>
  <si>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</si>
  <si>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</si>
  <si>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</si>
  <si>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</si>
  <si>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</si>
  <si>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</si>
  <si>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</si>
  <si>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</si>
  <si>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</si>
  <si>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</si>
  <si>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</si>
  <si>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</si>
  <si>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</si>
  <si>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</si>
  <si>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</si>
  <si>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</si>
  <si>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</si>
  <si>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</si>
  <si>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</si>
  <si>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</si>
  <si>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</si>
  <si>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</si>
  <si>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</si>
  <si>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</si>
  <si>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</si>
  <si>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</si>
  <si>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</si>
  <si>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</si>
  <si>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</si>
  <si>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</si>
  <si>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</si>
  <si>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</si>
  <si>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</si>
  <si>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</si>
  <si>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</si>
  <si>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</si>
  <si>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</si>
  <si>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</si>
  <si>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</si>
  <si>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</si>
  <si>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</si>
  <si>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</si>
  <si>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</si>
  <si>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</si>
  <si>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</si>
  <si>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</si>
  <si>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</si>
  <si>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</si>
  <si>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</si>
  <si>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</si>
  <si>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</si>
  <si>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</si>
  <si>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</si>
  <si>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</si>
  <si>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</si>
  <si>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</si>
  <si>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</si>
  <si>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</si>
  <si>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</si>
  <si>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</si>
  <si>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</si>
  <si>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</si>
  <si>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</si>
  <si>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</si>
  <si>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</si>
  <si>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</si>
  <si>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</si>
  <si>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</si>
  <si>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</si>
  <si>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</si>
  <si>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</si>
  <si>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</si>
  <si>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</si>
  <si>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</si>
  <si>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</si>
  <si>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</si>
  <si>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</si>
  <si>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</si>
  <si>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</si>
  <si>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</si>
  <si>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</si>
  <si>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</si>
  <si>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</si>
  <si>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</si>
  <si>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</si>
  <si>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</si>
  <si>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</si>
  <si>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</si>
  <si>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</si>
  <si>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</si>
  <si>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</si>
  <si>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</si>
  <si>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</si>
  <si>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</si>
  <si>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</si>
  <si>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</si>
  <si>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</si>
  <si>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</si>
  <si>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</si>
  <si>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</si>
  <si>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</si>
  <si>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</si>
  <si>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</si>
  <si>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</si>
  <si>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</si>
  <si>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</si>
  <si>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</si>
  <si>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</si>
  <si>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</si>
  <si>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</si>
  <si>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</si>
  <si>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</si>
  <si>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</si>
  <si>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</si>
  <si>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</si>
  <si>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</si>
  <si>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</si>
  <si>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</si>
  <si>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</si>
  <si>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</si>
  <si>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</si>
  <si>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</si>
  <si>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</si>
  <si>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</si>
  <si>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</si>
  <si>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</si>
  <si>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</si>
  <si>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</si>
  <si>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</si>
  <si>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</si>
  <si>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</si>
  <si>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</si>
  <si>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</si>
  <si>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</si>
  <si>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</si>
  <si>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</si>
  <si>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</si>
  <si>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</si>
  <si>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</si>
  <si>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</si>
  <si>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</si>
  <si>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</si>
  <si>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</si>
  <si>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</si>
  <si>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</si>
  <si>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</si>
  <si>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</si>
  <si>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</si>
  <si>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</si>
  <si>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</si>
  <si>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</si>
  <si>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</si>
  <si>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</si>
  <si>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</si>
  <si>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</si>
  <si>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</si>
  <si>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</si>
  <si>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</si>
  <si>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</si>
  <si>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</si>
  <si>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</si>
  <si>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</si>
  <si>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</si>
  <si>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</si>
  <si>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</si>
  <si>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</si>
  <si>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</si>
  <si>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</si>
  <si>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</si>
  <si>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</si>
  <si>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</si>
  <si>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</si>
  <si>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</si>
  <si>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</si>
  <si>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</si>
  <si>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</si>
  <si>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</si>
  <si>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</si>
  <si>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</si>
  <si>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</si>
  <si>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</si>
  <si>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</si>
  <si>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</si>
  <si>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</si>
  <si>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</si>
  <si>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</si>
  <si>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</si>
  <si>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</si>
  <si>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</si>
  <si>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</si>
  <si>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</si>
  <si>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</si>
  <si>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</si>
  <si>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</si>
  <si>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</si>
  <si>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</si>
  <si>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</si>
  <si>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</si>
  <si>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</si>
  <si>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</si>
  <si>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</si>
  <si>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</si>
  <si>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</si>
  <si>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</si>
  <si>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</si>
  <si>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</si>
  <si>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</si>
  <si>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</si>
  <si>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</si>
  <si>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</si>
  <si>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</si>
  <si>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</si>
  <si>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</si>
  <si>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</si>
  <si>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</si>
  <si>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</si>
  <si>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</si>
  <si>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</si>
  <si>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</si>
  <si>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</si>
  <si>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</si>
  <si>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</si>
  <si>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</si>
  <si>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</si>
  <si>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</si>
  <si>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</si>
  <si>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</si>
  <si>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</si>
  <si>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</si>
  <si>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</si>
  <si>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</si>
  <si>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</si>
  <si>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</si>
  <si>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</si>
  <si>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</si>
  <si>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</si>
  <si>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</si>
  <si>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</si>
  <si>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</si>
  <si>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</si>
  <si>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</si>
  <si>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</si>
  <si>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</si>
  <si>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</si>
  <si>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</si>
  <si>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</si>
  <si>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</si>
  <si>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</si>
  <si>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</si>
  <si>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</si>
  <si>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</si>
  <si>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</si>
  <si>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</si>
  <si>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</si>
  <si>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</si>
  <si>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</si>
  <si>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</si>
  <si>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</si>
  <si>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</si>
  <si>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</si>
  <si>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</si>
  <si>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</si>
  <si>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</si>
  <si>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</si>
  <si>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</si>
  <si>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</si>
  <si>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</si>
  <si>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</si>
  <si>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</si>
  <si>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</si>
  <si>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</si>
  <si>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</si>
  <si>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</si>
  <si>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</si>
  <si>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</si>
  <si>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</si>
  <si>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</si>
  <si>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</si>
  <si>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</si>
  <si>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</si>
  <si>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</si>
  <si>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</si>
  <si>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</si>
  <si>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</si>
  <si>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</si>
  <si>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</si>
  <si>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</si>
  <si>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</si>
  <si>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</si>
  <si>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</si>
  <si>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</si>
  <si>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</si>
  <si>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</si>
  <si>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</si>
  <si>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</si>
  <si>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</si>
  <si>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</si>
  <si>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</si>
  <si>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</si>
  <si>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</si>
  <si>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</si>
  <si>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</si>
  <si>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</si>
  <si>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</si>
  <si>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</si>
  <si>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</si>
  <si>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</si>
  <si>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</si>
  <si>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</si>
  <si>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</si>
  <si>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</si>
  <si>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</si>
  <si>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</si>
  <si>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</si>
  <si>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</si>
  <si>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</si>
  <si>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</si>
  <si>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</si>
  <si>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</si>
  <si>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</si>
  <si>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</si>
  <si>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</si>
  <si>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</si>
  <si>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</si>
  <si>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</si>
  <si>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</si>
  <si>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</si>
  <si>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</si>
  <si>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</si>
  <si>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</si>
  <si>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</si>
  <si>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</si>
  <si>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</si>
  <si>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</si>
  <si>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</si>
  <si>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</si>
  <si>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</si>
  <si>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</si>
  <si>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</si>
  <si>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</si>
  <si>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</si>
  <si>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</si>
  <si>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</si>
  <si>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</si>
  <si>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</si>
  <si>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</si>
  <si>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</si>
  <si>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</si>
  <si>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</si>
  <si>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</si>
  <si>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</si>
  <si>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</si>
  <si>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</si>
  <si>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</si>
  <si>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</si>
  <si>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</si>
  <si>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</si>
  <si>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</si>
  <si>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</si>
  <si>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</si>
  <si>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</si>
  <si>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</si>
  <si>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</si>
  <si>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</si>
  <si>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</si>
  <si>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</si>
  <si>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</si>
  <si>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</si>
  <si>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</si>
  <si>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</si>
  <si>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</si>
  <si>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</si>
  <si>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</si>
  <si>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</si>
  <si>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</si>
  <si>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</si>
  <si>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</si>
  <si>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</si>
  <si>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</si>
  <si>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</si>
  <si>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</si>
  <si>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</si>
  <si>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</si>
  <si>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</si>
  <si>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</si>
  <si>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</si>
  <si>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</si>
  <si>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</si>
  <si>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</si>
  <si>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</si>
  <si>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</si>
  <si>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</si>
  <si>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</si>
  <si>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</si>
  <si>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</si>
  <si>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</si>
  <si>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</si>
  <si>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</si>
  <si>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</si>
  <si>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</si>
  <si>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</si>
  <si>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</si>
  <si>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</si>
  <si>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</si>
  <si>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</si>
  <si>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</si>
  <si>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</si>
  <si>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</si>
  <si>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</si>
  <si>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</si>
  <si>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</si>
  <si>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</si>
  <si>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</si>
  <si>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</si>
  <si>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</si>
  <si>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</si>
  <si>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</si>
  <si>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</si>
  <si>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</si>
  <si>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</si>
  <si>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</si>
  <si>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</si>
  <si>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</si>
  <si>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</si>
  <si>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</si>
  <si>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</si>
  <si>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</si>
  <si>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</si>
  <si>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</si>
  <si>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</si>
  <si>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</si>
  <si>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</si>
  <si>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</si>
  <si>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</si>
  <si>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</si>
  <si>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</si>
  <si>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</si>
  <si>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</si>
  <si>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</si>
  <si>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</si>
  <si>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</si>
  <si>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</si>
  <si>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</si>
  <si>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</si>
  <si>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</si>
  <si>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</si>
  <si>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</si>
  <si>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</si>
  <si>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</si>
  <si>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</si>
  <si>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</si>
  <si>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</si>
  <si>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</si>
  <si>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</si>
  <si>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</si>
  <si>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</si>
  <si>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</si>
  <si>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</si>
  <si>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</si>
  <si>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</si>
  <si>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</si>
  <si>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</si>
  <si>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</si>
  <si>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</si>
  <si>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</si>
  <si>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</si>
  <si>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</si>
  <si>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</si>
  <si>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</si>
  <si>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</si>
  <si>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</si>
  <si>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</si>
  <si>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</si>
  <si>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</si>
  <si>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</si>
  <si>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</si>
  <si>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</si>
  <si>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</si>
  <si>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</si>
  <si>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</si>
  <si>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</si>
  <si>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</si>
  <si>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</si>
  <si>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</si>
  <si>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</si>
  <si>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</si>
  <si>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</si>
  <si>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</si>
  <si>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</si>
  <si>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</si>
  <si>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</si>
  <si>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</si>
  <si>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</si>
  <si>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</si>
  <si>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</si>
  <si>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</si>
  <si>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</si>
  <si>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</si>
  <si>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</si>
  <si>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</si>
  <si>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</si>
  <si>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</si>
  <si>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</si>
  <si>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</si>
  <si>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</si>
  <si>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</si>
  <si>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</si>
  <si>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</si>
  <si>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</si>
  <si>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</si>
  <si>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</si>
  <si>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</si>
  <si>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</si>
  <si>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</si>
  <si>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</si>
  <si>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</si>
  <si>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</si>
  <si>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</si>
  <si>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</si>
  <si>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</si>
  <si>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</si>
  <si>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</si>
  <si>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</si>
  <si>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</si>
  <si>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</si>
  <si>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</si>
  <si>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</si>
  <si>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</si>
  <si>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</si>
  <si>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</si>
  <si>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</si>
  <si>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</si>
  <si>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</si>
  <si>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</si>
  <si>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</si>
  <si>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</si>
  <si>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</si>
  <si>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</si>
  <si>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</si>
  <si>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</si>
  <si>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</si>
  <si>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</si>
  <si>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</si>
  <si>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</si>
  <si>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</si>
  <si>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</si>
  <si>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</si>
  <si>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</si>
  <si>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</si>
  <si>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</si>
  <si>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</si>
  <si>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</si>
  <si>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</si>
  <si>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</si>
  <si>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</si>
  <si>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</si>
  <si>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</si>
  <si>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</si>
  <si>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</si>
  <si>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</si>
  <si>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</si>
  <si>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</si>
  <si>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</si>
  <si>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</si>
  <si>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</si>
  <si>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</si>
  <si>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</si>
  <si>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</si>
  <si>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</si>
  <si>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</si>
  <si>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</si>
  <si>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</si>
  <si>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</si>
  <si>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</si>
  <si>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</si>
  <si>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</si>
  <si>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</si>
  <si>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</si>
  <si>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</si>
  <si>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</si>
  <si>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</si>
  <si>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</si>
  <si>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</si>
  <si>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</si>
  <si>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</si>
  <si>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</si>
  <si>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</si>
  <si>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</si>
  <si>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</si>
  <si>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</si>
  <si>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</si>
  <si>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</si>
  <si>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</si>
  <si>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</si>
  <si>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</si>
  <si>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</si>
  <si>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</si>
  <si>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</si>
  <si>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</si>
  <si>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</si>
  <si>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</si>
  <si>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</si>
  <si>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</si>
  <si>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</si>
  <si>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</si>
  <si>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</si>
  <si>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</si>
  <si>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</si>
  <si>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</si>
  <si>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</si>
  <si>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</si>
  <si>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</si>
  <si>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</si>
  <si>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</si>
  <si>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</si>
  <si>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</si>
  <si>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</si>
  <si>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</si>
  <si>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</si>
  <si>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</si>
  <si>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</si>
  <si>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</si>
  <si>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</si>
  <si>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</si>
  <si>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</si>
  <si>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</si>
  <si>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</si>
  <si>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</si>
  <si>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</si>
  <si>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</si>
  <si>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</si>
  <si>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</si>
  <si>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</si>
  <si>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</si>
  <si>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</si>
  <si>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</si>
  <si>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</si>
  <si>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</si>
  <si>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</si>
  <si>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</si>
  <si>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</si>
  <si>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</si>
  <si>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</si>
  <si>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</si>
  <si>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</si>
  <si>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</si>
  <si>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</si>
  <si>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</si>
  <si>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</si>
  <si>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</si>
  <si>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</si>
  <si>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</si>
  <si>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</si>
  <si>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</si>
  <si>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</si>
  <si>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</si>
  <si>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</si>
  <si>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</si>
  <si>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</si>
  <si>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</si>
  <si>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</si>
  <si>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</si>
  <si>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</si>
  <si>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</si>
  <si>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</si>
  <si>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</si>
  <si>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</si>
  <si>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</si>
  <si>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</si>
  <si>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</si>
  <si>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</si>
  <si>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</si>
  <si>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</si>
  <si>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</si>
  <si>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</si>
  <si>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</si>
  <si>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</si>
  <si>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</si>
  <si>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</si>
  <si>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</si>
  <si>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</si>
  <si>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</si>
  <si>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</si>
  <si>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</si>
  <si>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</si>
  <si>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</si>
  <si>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</si>
  <si>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</si>
  <si>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</si>
  <si>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</si>
  <si>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</si>
  <si>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</si>
  <si>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</si>
  <si>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</si>
  <si>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</si>
  <si>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</si>
  <si>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</si>
  <si>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</si>
  <si>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</si>
  <si>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</si>
  <si>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</si>
  <si>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</si>
  <si>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</si>
  <si>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</si>
  <si>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</si>
  <si>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</si>
  <si>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</si>
  <si>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</si>
  <si>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</si>
  <si>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</si>
  <si>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</si>
  <si>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</si>
  <si>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</si>
  <si>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</si>
  <si>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</si>
  <si>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</si>
  <si>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</si>
  <si>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</si>
  <si>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</si>
  <si>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</si>
  <si>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</si>
  <si>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</si>
  <si>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</si>
  <si>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</si>
  <si>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</si>
  <si>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</si>
  <si>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</si>
  <si>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</si>
  <si>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</si>
  <si>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</si>
  <si>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</si>
  <si>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</si>
  <si>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</si>
  <si>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</si>
  <si>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</si>
  <si>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</si>
  <si>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</si>
  <si>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</si>
  <si>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</si>
  <si>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</si>
  <si>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</si>
  <si>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</si>
  <si>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</si>
  <si>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</si>
  <si>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</si>
  <si>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</si>
  <si>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</si>
  <si>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</si>
  <si>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</si>
  <si>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</si>
  <si>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</si>
  <si>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</si>
  <si>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</si>
  <si>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</si>
  <si>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</si>
  <si>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</si>
  <si>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</si>
  <si>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</si>
  <si>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</si>
  <si>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</si>
  <si>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</si>
  <si>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</si>
  <si>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</si>
  <si>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</si>
  <si>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</si>
  <si>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</si>
  <si>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</si>
  <si>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</si>
  <si>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</si>
  <si>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</si>
  <si>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</si>
  <si>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</si>
  <si>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</si>
  <si>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</si>
  <si>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</si>
  <si>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</si>
  <si>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</si>
  <si>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</si>
  <si>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</si>
  <si>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</si>
  <si>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</si>
  <si>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</si>
  <si>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</si>
  <si>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</si>
  <si>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</si>
  <si>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</si>
  <si>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</si>
  <si>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</si>
  <si>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</si>
  <si>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</si>
  <si>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</si>
  <si>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</si>
  <si>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</si>
  <si>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</si>
  <si>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</si>
  <si>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</si>
  <si>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</si>
  <si>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</si>
  <si>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</si>
  <si>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</si>
  <si>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</si>
  <si>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</si>
  <si>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</si>
  <si>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</si>
  <si>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</si>
  <si>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</si>
  <si>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</si>
  <si>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</si>
  <si>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</si>
  <si>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</si>
  <si>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</si>
  <si>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</si>
  <si>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</si>
  <si>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</si>
  <si>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</si>
  <si>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</si>
  <si>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</si>
  <si>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</si>
  <si>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</si>
  <si>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</si>
  <si>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</si>
  <si>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</si>
  <si>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</si>
  <si>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</si>
  <si>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</si>
  <si>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</si>
  <si>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</si>
  <si>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</si>
  <si>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</si>
  <si>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</si>
  <si>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</si>
  <si>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</si>
  <si>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</si>
  <si>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</si>
  <si>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</si>
  <si>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</si>
  <si>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</si>
  <si>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</si>
  <si>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</si>
  <si>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</si>
  <si>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</si>
  <si>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</si>
  <si>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</si>
  <si>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</si>
  <si>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</si>
  <si>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</si>
  <si>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</si>
  <si>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</si>
  <si>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</si>
  <si>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</si>
  <si>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</si>
  <si>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</si>
  <si>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</si>
  <si>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</si>
  <si>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</si>
  <si>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</si>
  <si>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</si>
  <si>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</si>
  <si>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</si>
  <si>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</si>
  <si>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</si>
  <si>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</si>
  <si>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</si>
  <si>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</si>
  <si>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</si>
  <si>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</si>
  <si>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</si>
  <si>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</si>
  <si>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</si>
  <si>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</si>
  <si>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</si>
  <si>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</si>
  <si>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</si>
  <si>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</si>
  <si>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</si>
  <si>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</si>
  <si>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</si>
  <si>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</si>
  <si>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</si>
  <si>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</si>
  <si>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</si>
  <si>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</si>
  <si>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</si>
  <si>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</si>
  <si>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</si>
  <si>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</si>
  <si>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</si>
  <si>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</si>
  <si>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</si>
  <si>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</si>
  <si>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</si>
  <si>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</si>
  <si>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</si>
  <si>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</si>
  <si>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</si>
  <si>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</si>
  <si>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</si>
  <si>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</si>
  <si>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</si>
  <si>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</si>
  <si>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</si>
  <si>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</si>
  <si>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</si>
  <si>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</si>
  <si>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</si>
  <si>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</si>
  <si>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</si>
  <si>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</si>
  <si>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</si>
  <si>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</si>
  <si>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</si>
  <si>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</si>
  <si>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</si>
  <si>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</si>
  <si>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</si>
  <si>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</si>
  <si>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</si>
  <si>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</si>
  <si>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</si>
  <si>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</si>
  <si>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</si>
  <si>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</si>
  <si>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</si>
  <si>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</si>
  <si>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</si>
  <si>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</si>
  <si>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</si>
  <si>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</si>
  <si>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</si>
  <si>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</si>
  <si>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</si>
  <si>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</si>
  <si>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</si>
  <si>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</si>
  <si>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</si>
  <si>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</si>
  <si>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</si>
  <si>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</si>
  <si>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</si>
  <si>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</si>
  <si>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</si>
  <si>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</si>
  <si>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</si>
  <si>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</si>
  <si>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</si>
  <si>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</si>
  <si>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</si>
  <si>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</si>
  <si>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</si>
  <si>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</si>
  <si>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</si>
  <si>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</si>
  <si>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</si>
  <si>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</si>
  <si>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</si>
  <si>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</si>
  <si>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</si>
  <si>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</si>
  <si>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</si>
  <si>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</si>
  <si>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</si>
  <si>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</si>
  <si>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</si>
  <si>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</si>
  <si>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</si>
  <si>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</si>
  <si>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</si>
  <si>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</si>
  <si>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</si>
  <si>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</si>
  <si>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</si>
  <si>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</si>
  <si>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</si>
  <si>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</si>
  <si>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</si>
  <si>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</si>
  <si>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</si>
  <si>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</si>
  <si>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</si>
  <si>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</si>
  <si>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</si>
  <si>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</si>
  <si>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</si>
  <si>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</si>
  <si>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</si>
  <si>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</si>
  <si>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</si>
  <si>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</si>
  <si>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</si>
  <si>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</si>
  <si>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</si>
  <si>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</si>
  <si>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</si>
  <si>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</si>
  <si>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</si>
  <si>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</si>
  <si>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</si>
  <si>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</si>
  <si>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</si>
  <si>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</si>
  <si>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</si>
  <si>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</si>
  <si>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</si>
  <si>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</si>
  <si>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</si>
  <si>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</si>
  <si>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</si>
  <si>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</si>
  <si>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</si>
  <si>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</si>
  <si>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</si>
  <si>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</si>
  <si>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</si>
  <si>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</si>
  <si>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</si>
  <si>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</si>
  <si>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</si>
  <si>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</si>
  <si>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</si>
  <si>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</si>
  <si>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</si>
  <si>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</si>
  <si>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</si>
  <si>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</si>
  <si>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</si>
  <si>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</si>
  <si>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</si>
  <si>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</si>
  <si>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</si>
  <si>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</si>
  <si>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</si>
  <si>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</si>
  <si>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</si>
  <si>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</si>
  <si>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</si>
  <si>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</si>
  <si>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</si>
  <si>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</si>
  <si>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</si>
  <si>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</si>
  <si>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</si>
  <si>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</si>
  <si>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</si>
  <si>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</si>
  <si>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</si>
  <si>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</si>
  <si>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</si>
  <si>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</si>
  <si>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</si>
  <si>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</si>
  <si>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</si>
  <si>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</si>
  <si>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</si>
  <si>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</si>
  <si>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</si>
  <si>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</si>
  <si>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</si>
  <si>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</si>
  <si>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</si>
  <si>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</si>
  <si>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</si>
  <si>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</si>
  <si>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</si>
  <si>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</si>
  <si>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</si>
  <si>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</si>
  <si>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</si>
  <si>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</si>
  <si>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</si>
  <si>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</si>
  <si>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</si>
  <si>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</si>
  <si>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</si>
  <si>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</si>
  <si>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</si>
  <si>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</si>
  <si>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</si>
  <si>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</si>
  <si>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</si>
  <si>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</si>
  <si>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</si>
  <si>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</si>
  <si>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</si>
  <si>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</si>
  <si>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</si>
  <si>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</si>
  <si>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</si>
  <si>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</si>
  <si>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</si>
  <si>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</si>
  <si>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</si>
  <si>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</si>
  <si>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</si>
  <si>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</si>
  <si>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</si>
  <si>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</si>
  <si>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</si>
  <si>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</si>
  <si>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</si>
  <si>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</si>
  <si>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</si>
  <si>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</si>
  <si>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</si>
  <si>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</si>
  <si>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</si>
  <si>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</si>
  <si>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</si>
  <si>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</si>
  <si>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</si>
  <si>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</si>
  <si>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</si>
  <si>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</si>
  <si>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</si>
  <si>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</si>
  <si>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</si>
  <si>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</si>
  <si>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</si>
  <si>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</si>
  <si>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</si>
  <si>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</si>
  <si>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</si>
  <si>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</si>
  <si>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</si>
  <si>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</si>
  <si>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</si>
  <si>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</si>
  <si>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</si>
  <si>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</si>
  <si>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</si>
  <si>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</si>
  <si>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</si>
  <si>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</si>
  <si>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</si>
  <si>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</si>
  <si>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</si>
  <si>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</si>
  <si>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</si>
  <si>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</si>
  <si>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</si>
  <si>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</si>
  <si>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</si>
  <si>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</si>
  <si>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</si>
  <si>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</si>
  <si>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</si>
  <si>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</si>
  <si>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</si>
  <si>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</si>
  <si>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</si>
  <si>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</si>
  <si>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</si>
  <si>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</si>
  <si>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</si>
  <si>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</si>
  <si>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</si>
  <si>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</si>
  <si>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</si>
  <si>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</si>
  <si>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</si>
  <si>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</si>
  <si>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</si>
  <si>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</si>
  <si>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</si>
  <si>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</si>
  <si>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</si>
  <si>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</si>
  <si>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</si>
  <si>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</si>
  <si>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</si>
  <si>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</si>
  <si>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</si>
  <si>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</si>
  <si>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</si>
  <si>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</si>
  <si>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</si>
  <si>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</si>
  <si>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</si>
  <si>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</si>
  <si>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</si>
  <si>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</si>
  <si>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</si>
  <si>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</si>
  <si>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</si>
  <si>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</si>
  <si>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</si>
  <si>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</si>
  <si>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</si>
  <si>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</si>
  <si>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</si>
  <si>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</si>
  <si>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</si>
  <si>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</si>
  <si>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</si>
  <si>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</si>
  <si>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</si>
  <si>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</si>
  <si>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</si>
  <si>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</si>
  <si>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</si>
  <si>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</si>
  <si>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</si>
  <si>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</si>
  <si>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</si>
  <si>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</si>
  <si>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</si>
  <si>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</si>
  <si>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</si>
  <si>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</si>
  <si>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</si>
  <si>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</si>
  <si>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</si>
  <si>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</si>
  <si>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</si>
  <si>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</si>
  <si>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</si>
  <si>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</si>
  <si>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</si>
  <si>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</si>
  <si>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</si>
  <si>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</si>
  <si>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</si>
  <si>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</si>
  <si>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</si>
  <si>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</si>
  <si>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</si>
  <si>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</si>
  <si>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</si>
  <si>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</si>
  <si>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</si>
  <si>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</si>
  <si>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</si>
  <si>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</si>
  <si>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</si>
  <si>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</si>
  <si>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</si>
  <si>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</si>
  <si>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</si>
  <si>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</si>
  <si>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</si>
  <si>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</si>
  <si>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</si>
  <si>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</si>
  <si>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</si>
  <si>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</si>
  <si>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</si>
  <si>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</si>
  <si>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</si>
  <si>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</si>
  <si>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</si>
  <si>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</si>
  <si>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</si>
  <si>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</si>
  <si>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</si>
  <si>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</si>
  <si>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</si>
  <si>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</si>
  <si>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</si>
  <si>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</si>
  <si>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</si>
  <si>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</si>
  <si>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</si>
  <si>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</si>
  <si>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</si>
  <si>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</si>
  <si>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</si>
  <si>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</si>
  <si>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</si>
  <si>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</si>
  <si>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</si>
  <si>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</si>
  <si>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</si>
  <si>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</si>
  <si>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</si>
  <si>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</si>
  <si>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</si>
  <si>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</si>
  <si>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</si>
  <si>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</si>
  <si>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</si>
  <si>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</si>
  <si>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</si>
  <si>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</si>
  <si>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</si>
  <si>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</si>
  <si>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</si>
  <si>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</si>
  <si>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</si>
  <si>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</si>
  <si>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</si>
  <si>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</si>
  <si>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</si>
  <si>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</si>
  <si>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</si>
  <si>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</si>
  <si>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</si>
  <si>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</si>
  <si>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</si>
  <si>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</si>
  <si>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</si>
  <si>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</si>
  <si>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</si>
  <si>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</si>
  <si>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</si>
  <si>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</si>
  <si>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</si>
  <si>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</si>
  <si>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</si>
  <si>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</si>
  <si>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</si>
  <si>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</si>
  <si>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</si>
  <si>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</si>
  <si>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</si>
  <si>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</si>
  <si>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</si>
  <si>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</si>
  <si>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</si>
  <si>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</si>
  <si>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</si>
  <si>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</si>
  <si>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</si>
  <si>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</si>
  <si>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</si>
  <si>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</si>
  <si>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</si>
  <si>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</si>
  <si>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</si>
  <si>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</si>
  <si>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</si>
  <si>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</si>
  <si>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</si>
  <si>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</si>
  <si>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</si>
  <si>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</si>
  <si>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</si>
  <si>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</si>
  <si>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</si>
  <si>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</si>
  <si>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</si>
  <si>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</si>
  <si>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</si>
  <si>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</si>
  <si>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</si>
  <si>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</si>
  <si>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</si>
  <si>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</si>
  <si>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</si>
  <si>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</si>
  <si>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</si>
  <si>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</si>
  <si>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</si>
  <si>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</si>
  <si>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</si>
  <si>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</si>
  <si>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</si>
  <si>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</si>
  <si>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</si>
  <si>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</si>
  <si>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</si>
  <si>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</si>
  <si>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</si>
  <si>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</si>
  <si>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</si>
  <si>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</si>
  <si>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</si>
  <si>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</si>
  <si>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</si>
  <si>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</si>
  <si>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</si>
  <si>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</si>
  <si>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</si>
  <si>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</si>
  <si>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</si>
  <si>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</si>
  <si>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</si>
  <si>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</si>
  <si>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</si>
  <si>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</si>
  <si>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</si>
  <si>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</si>
  <si>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</si>
  <si>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</si>
  <si>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</si>
  <si>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</si>
  <si>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</si>
  <si>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</si>
  <si>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</si>
  <si>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</si>
  <si>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</si>
  <si>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</si>
  <si>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</si>
  <si>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</si>
  <si>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</si>
  <si>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</si>
  <si>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</si>
  <si>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</si>
  <si>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</si>
  <si>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</si>
  <si>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</si>
  <si>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</si>
  <si>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</si>
  <si>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</si>
  <si>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</si>
  <si>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</si>
  <si>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</si>
  <si>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</si>
  <si>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</si>
  <si>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</si>
  <si>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</si>
  <si>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</si>
  <si>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</si>
  <si>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</si>
  <si>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</si>
  <si>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</si>
  <si>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</si>
  <si>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</si>
  <si>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</si>
  <si>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</si>
  <si>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</si>
  <si>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</si>
  <si>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</si>
  <si>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</si>
  <si>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</si>
  <si>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</si>
  <si>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</si>
  <si>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</si>
  <si>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</si>
  <si>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</si>
  <si>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</si>
  <si>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</si>
  <si>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</si>
  <si>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</si>
  <si>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</si>
  <si>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</si>
  <si>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</si>
  <si>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</si>
  <si>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</si>
  <si>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</si>
  <si>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</si>
  <si>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</si>
  <si>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</si>
  <si>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</si>
  <si>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</si>
  <si>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</si>
  <si>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</si>
  <si>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</si>
  <si>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</si>
  <si>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</si>
  <si>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</si>
  <si>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</si>
  <si>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</si>
  <si>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</si>
  <si>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</si>
  <si>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</si>
  <si>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</si>
  <si>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</si>
  <si>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</si>
  <si>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</si>
  <si>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</si>
  <si>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</si>
  <si>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</si>
  <si>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</si>
  <si>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</si>
  <si>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</si>
  <si>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</si>
  <si>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</si>
  <si>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</si>
  <si>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</si>
  <si>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</si>
  <si>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</si>
  <si>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</si>
  <si>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</si>
  <si>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</si>
  <si>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</si>
  <si>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</si>
  <si>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</si>
  <si>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</si>
  <si>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</si>
  <si>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</si>
  <si>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</si>
  <si>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</si>
  <si>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</si>
  <si>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</si>
  <si>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</si>
  <si>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</si>
  <si>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</si>
  <si>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</si>
  <si>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</si>
  <si>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</si>
  <si>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</si>
  <si>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</si>
  <si>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</si>
  <si>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</si>
  <si>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</si>
  <si>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</si>
  <si>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</si>
  <si>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</si>
  <si>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</si>
  <si>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</si>
  <si>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</si>
  <si>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</si>
  <si>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</si>
  <si>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</si>
  <si>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</si>
  <si>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</si>
  <si>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</si>
  <si>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</si>
  <si>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</si>
  <si>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</si>
  <si>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</si>
  <si>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</si>
  <si>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</si>
  <si>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</si>
  <si>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</si>
  <si>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</si>
  <si>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</si>
  <si>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</si>
  <si>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</si>
  <si>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</si>
  <si>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</si>
  <si>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</si>
  <si>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</si>
  <si>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</si>
  <si>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</si>
  <si>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</si>
  <si>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</si>
  <si>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</si>
  <si>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</si>
  <si>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</si>
  <si>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</si>
  <si>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</si>
  <si>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</si>
  <si>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</si>
  <si>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</si>
  <si>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</si>
  <si>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</si>
  <si>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</si>
  <si>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</si>
  <si>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</si>
  <si>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</si>
  <si>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</si>
  <si>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</si>
  <si>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</si>
  <si>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</si>
  <si>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</si>
  <si>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</si>
  <si>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</si>
  <si>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</si>
  <si>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</si>
  <si>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</si>
  <si>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</si>
  <si>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</si>
  <si>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</si>
  <si>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</si>
  <si>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</si>
  <si>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</si>
  <si>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</si>
  <si>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</si>
  <si>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</si>
  <si>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</si>
  <si>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</si>
  <si>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</si>
  <si>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</si>
  <si>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</si>
  <si>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</si>
  <si>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</si>
  <si>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</si>
  <si>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</si>
  <si>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</si>
  <si>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</si>
  <si>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</si>
  <si>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</si>
  <si>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</si>
  <si>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</si>
  <si>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</si>
  <si>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</si>
  <si>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</si>
  <si>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</si>
  <si>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</si>
  <si>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</si>
  <si>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</si>
  <si>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</si>
  <si>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</si>
  <si>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</si>
  <si>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</si>
  <si>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</si>
  <si>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</si>
  <si>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</si>
  <si>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</si>
  <si>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</si>
  <si>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</si>
  <si>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</si>
  <si>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</si>
  <si>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</si>
  <si>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</si>
  <si>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</si>
  <si>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</si>
  <si>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</si>
  <si>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</si>
  <si>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</si>
  <si>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</si>
  <si>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</si>
  <si>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</si>
  <si>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</si>
  <si>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</si>
  <si>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</si>
  <si>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</si>
  <si>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</si>
  <si>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</si>
  <si>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</si>
  <si>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</si>
  <si>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</si>
  <si>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</si>
  <si>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</si>
  <si>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</si>
  <si>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</si>
  <si>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</si>
  <si>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</si>
  <si>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</si>
  <si>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</si>
  <si>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</si>
  <si>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</si>
  <si>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</si>
  <si>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</si>
  <si>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</si>
  <si>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</si>
  <si>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</si>
  <si>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</si>
  <si>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</si>
  <si>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</si>
  <si>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</si>
  <si>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</si>
  <si>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</si>
  <si>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</si>
  <si>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</si>
  <si>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</si>
  <si>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</si>
  <si>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</si>
  <si>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</si>
  <si>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</si>
  <si>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</si>
  <si>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</si>
  <si>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</si>
  <si>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</si>
  <si>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</si>
  <si>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</si>
  <si>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</si>
  <si>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</si>
  <si>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</si>
  <si>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</si>
  <si>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</si>
  <si>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</si>
  <si>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</si>
  <si>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</si>
  <si>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</si>
  <si>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</si>
  <si>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</si>
  <si>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</si>
  <si>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</si>
  <si>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</si>
  <si>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</si>
  <si>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</si>
  <si>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</si>
  <si>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</si>
  <si>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</si>
  <si>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</si>
  <si>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</si>
  <si>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</si>
  <si>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</si>
  <si>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</si>
  <si>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</si>
  <si>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</si>
  <si>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</si>
  <si>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</si>
  <si>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</si>
  <si>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</si>
  <si>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</si>
  <si>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</si>
  <si>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</si>
  <si>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</si>
  <si>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</si>
  <si>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</si>
  <si>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</si>
  <si>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</si>
  <si>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</si>
  <si>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</si>
  <si>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</si>
  <si>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</si>
  <si>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</si>
  <si>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</si>
  <si>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</si>
  <si>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</si>
  <si>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</si>
  <si>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</si>
  <si>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</si>
  <si>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</si>
  <si>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</si>
  <si>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</si>
  <si>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</si>
  <si>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</si>
  <si>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</si>
  <si>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</si>
  <si>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</si>
  <si>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</si>
  <si>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</si>
  <si>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</si>
  <si>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</si>
  <si>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</si>
  <si>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</si>
  <si>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</si>
  <si>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</si>
  <si>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</si>
  <si>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</si>
  <si>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</si>
  <si>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</si>
  <si>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</si>
  <si>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</si>
  <si>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</si>
  <si>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</si>
  <si>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</si>
  <si>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</si>
  <si>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</si>
  <si>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</si>
  <si>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</si>
  <si>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</si>
  <si>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</si>
  <si>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</si>
  <si>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</si>
  <si>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</si>
  <si>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</si>
  <si>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</si>
  <si>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</si>
  <si>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</si>
  <si>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</si>
  <si>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</si>
  <si>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</si>
  <si>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</si>
  <si>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</si>
  <si>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</si>
  <si>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</si>
  <si>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</si>
  <si>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</si>
  <si>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</si>
  <si>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</si>
  <si>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</si>
  <si>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</si>
  <si>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</si>
  <si>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</si>
  <si>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</si>
  <si>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</si>
  <si>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</si>
  <si>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</si>
  <si>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</si>
  <si>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</si>
  <si>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</si>
  <si>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</si>
  <si>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</si>
  <si>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</si>
  <si>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</si>
  <si>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</si>
  <si>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</si>
  <si>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</si>
  <si>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</si>
  <si>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</si>
  <si>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</si>
  <si>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</si>
  <si>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</si>
  <si>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</si>
  <si>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</si>
  <si>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</si>
  <si>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</si>
  <si>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</si>
  <si>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</si>
  <si>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</si>
  <si>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</si>
  <si>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</si>
  <si>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</si>
  <si>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</si>
  <si>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</si>
  <si>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</si>
  <si>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</si>
  <si>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</si>
  <si>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</si>
  <si>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</si>
  <si>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</si>
  <si>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</si>
  <si>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</si>
  <si>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</si>
  <si>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</si>
  <si>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</si>
  <si>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</si>
  <si>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</si>
  <si>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</si>
  <si>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</si>
  <si>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</si>
  <si>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</si>
  <si>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</si>
  <si>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</si>
  <si>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</si>
  <si>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</si>
  <si>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</si>
  <si>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</si>
  <si>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</si>
  <si>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</si>
  <si>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</si>
  <si>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</si>
  <si>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</si>
  <si>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</si>
  <si>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</si>
  <si>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</si>
  <si>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</si>
  <si>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</si>
  <si>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</si>
  <si>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</si>
  <si>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</si>
  <si>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</si>
  <si>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</si>
  <si>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</si>
  <si>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</si>
  <si>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</si>
  <si>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</si>
  <si>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</si>
  <si>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</si>
  <si>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</si>
  <si>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</si>
  <si>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</si>
  <si>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</si>
  <si>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</si>
  <si>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</si>
  <si>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</si>
  <si>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</si>
  <si>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</si>
  <si>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</si>
  <si>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</si>
  <si>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</si>
  <si>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</si>
  <si>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</si>
  <si>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</si>
  <si>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</si>
  <si>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</si>
  <si>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</si>
  <si>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</si>
  <si>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</si>
  <si>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</si>
  <si>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</si>
  <si>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</si>
  <si>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</si>
  <si>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</si>
  <si>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</si>
  <si>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</si>
  <si>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</si>
  <si>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</si>
  <si>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</si>
  <si>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</si>
  <si>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</si>
  <si>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</si>
  <si>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</si>
  <si>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</si>
  <si>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</si>
  <si>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</si>
  <si>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</si>
  <si>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</si>
  <si>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</si>
  <si>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</si>
  <si>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</si>
  <si>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</si>
  <si>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</si>
  <si>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</si>
  <si>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</si>
  <si>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</si>
  <si>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</si>
  <si>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</si>
  <si>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</si>
  <si>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</si>
  <si>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</si>
  <si>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</si>
  <si>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</si>
  <si>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</si>
  <si>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</si>
  <si>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</si>
  <si>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</si>
  <si>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</si>
  <si>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</si>
  <si>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</si>
  <si>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</si>
  <si>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</si>
  <si>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</si>
  <si>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</si>
  <si>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</si>
  <si>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</si>
  <si>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</si>
  <si>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</si>
  <si>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</si>
  <si>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</si>
  <si>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</si>
  <si>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</si>
  <si>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</si>
  <si>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</si>
  <si>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</si>
  <si>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</si>
  <si>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</si>
  <si>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</si>
  <si>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</si>
  <si>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</si>
  <si>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</si>
  <si>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</si>
  <si>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</si>
  <si>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</si>
  <si>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</si>
  <si>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</si>
  <si>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</si>
  <si>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</si>
  <si>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</si>
  <si>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</si>
  <si>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</si>
  <si>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</si>
  <si>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</si>
  <si>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</si>
  <si>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</si>
  <si>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</si>
  <si>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</si>
  <si>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</si>
  <si>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</si>
  <si>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</si>
  <si>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</si>
  <si>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</si>
  <si>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</si>
  <si>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</si>
  <si>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</si>
  <si>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</si>
  <si>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</si>
  <si>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</si>
  <si>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</si>
  <si>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</si>
  <si>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</si>
  <si>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</si>
  <si>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</si>
  <si>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</si>
  <si>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</si>
  <si>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</si>
  <si>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</si>
  <si>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</si>
  <si>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</si>
  <si>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</si>
  <si>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</si>
  <si>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</si>
  <si>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</si>
  <si>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</si>
  <si>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</si>
  <si>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</si>
  <si>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</si>
  <si>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</si>
  <si>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</si>
  <si>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</si>
  <si>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</si>
  <si>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</si>
  <si>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</si>
  <si>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</si>
  <si>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</si>
  <si>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</si>
  <si>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</si>
  <si>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</si>
  <si>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</si>
  <si>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</si>
  <si>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</si>
  <si>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</si>
  <si>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</si>
  <si>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</si>
  <si>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</si>
  <si>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</si>
  <si>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</si>
  <si>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</si>
  <si>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</si>
  <si>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</si>
  <si>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</si>
  <si>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</si>
  <si>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</si>
  <si>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</si>
  <si>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</si>
  <si>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</si>
  <si>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</si>
  <si>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</si>
  <si>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</si>
  <si>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</si>
  <si>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</si>
  <si>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</si>
  <si>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</si>
  <si>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</si>
  <si>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</si>
  <si>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</si>
  <si>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</si>
  <si>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</si>
  <si>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</si>
  <si>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</si>
  <si>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</si>
  <si>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</si>
  <si>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</si>
  <si>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</si>
  <si>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</si>
  <si>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</si>
  <si>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</si>
  <si>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</si>
  <si>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</si>
  <si>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</si>
  <si>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</si>
  <si>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</si>
  <si>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</si>
  <si>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</si>
  <si>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</si>
  <si>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</si>
  <si>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</si>
  <si>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</si>
  <si>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</si>
  <si>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</si>
  <si>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</si>
  <si>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</si>
  <si>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</si>
  <si>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</si>
  <si>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</si>
  <si>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</si>
  <si>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03322661</t>
  </si>
  <si>
    <t>040013304</t>
  </si>
  <si>
    <t>06531901714</t>
  </si>
  <si>
    <t>KD ČISTOĆA d.o.o. RIJEKA</t>
  </si>
  <si>
    <t>RIJEKA</t>
  </si>
  <si>
    <t>Dolac 14</t>
  </si>
  <si>
    <t>cistoca.rijeka@cistoca-ri.hr</t>
  </si>
  <si>
    <t>www.cistoca-ri.hr</t>
  </si>
  <si>
    <t>Bijelić Ljiljana</t>
  </si>
  <si>
    <t>051353436</t>
  </si>
  <si>
    <t>051214705</t>
  </si>
  <si>
    <t>Bojana Jurdana</t>
  </si>
  <si>
    <t>DA</t>
  </si>
  <si>
    <t>3(d),5.1.</t>
  </si>
  <si>
    <t>3(e),5.2.</t>
  </si>
  <si>
    <t>3(f),5.3.</t>
  </si>
  <si>
    <t>3(g)</t>
  </si>
  <si>
    <t>3(h),5.4.</t>
  </si>
  <si>
    <t>3(i)</t>
  </si>
  <si>
    <t>3(i),5.5</t>
  </si>
  <si>
    <t>3(i),/ii/</t>
  </si>
  <si>
    <t>3(i),5.6.</t>
  </si>
  <si>
    <t>3(j),5.7.</t>
  </si>
  <si>
    <t>3(k),5.8.</t>
  </si>
  <si>
    <t>3(r),5.14</t>
  </si>
  <si>
    <t>3(l),5.9.</t>
  </si>
  <si>
    <t>3(m),5.10</t>
  </si>
  <si>
    <t>3(n)</t>
  </si>
  <si>
    <t>5.11.</t>
  </si>
  <si>
    <t>3(o)</t>
  </si>
  <si>
    <t>3(o),i</t>
  </si>
  <si>
    <t>3(o),ii</t>
  </si>
  <si>
    <t>3(o),iii</t>
  </si>
  <si>
    <t>3(o),iv</t>
  </si>
  <si>
    <t>3(o),5.12</t>
  </si>
  <si>
    <t>3(p),5.13</t>
  </si>
  <si>
    <t>3(a),4.1.</t>
  </si>
  <si>
    <t>3(a),/i/</t>
  </si>
  <si>
    <t>3(a),/ii/</t>
  </si>
  <si>
    <t>3(b),4.2.</t>
  </si>
  <si>
    <t>3(b),/i/</t>
  </si>
  <si>
    <t>3(b),/ii/</t>
  </si>
  <si>
    <t>3(b),/iii</t>
  </si>
  <si>
    <t>3(b),/iv/</t>
  </si>
  <si>
    <t>3(b),/v/</t>
  </si>
  <si>
    <t>3(b),/vi/</t>
  </si>
  <si>
    <t>3(b),/vii</t>
  </si>
  <si>
    <t>3(a),4.3.</t>
  </si>
  <si>
    <t>3(b),4.4.</t>
  </si>
  <si>
    <t>3(c),4.6.</t>
  </si>
  <si>
    <t>4.7.</t>
  </si>
  <si>
    <t>6./i/</t>
  </si>
  <si>
    <t>6./ii/</t>
  </si>
  <si>
    <t>6./iii/</t>
  </si>
  <si>
    <t>6./iv/</t>
  </si>
  <si>
    <t>52211079872</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</si>
</sst>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8470262.54</v>
      </c>
      <c r="I3" s="27">
        <f>ABS(ROUND(J3,0)-J3)+ABS(ROUND(K3,0)-K3)</f>
        <v>0</v>
      </c>
      <c r="J3" s="75">
        <f>Bilanca!K11</f>
        <v>138716149</v>
      </c>
      <c r="K3" s="76">
        <f>Bilanca!L11</f>
        <v>142398489</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t="str">
        <f>IF(Bilanca!J12=0,"",Bilanca!J12)</f>
        <v>3(d),5.1.</v>
      </c>
      <c r="H4" s="224">
        <f aca="true" t="shared" si="1" ref="H4:H44">J4/100*F4+2*K4/100*F4</f>
        <v>286912.17000000004</v>
      </c>
      <c r="I4" s="77">
        <f>ABS(ROUND(J4,0)-J4)+ABS(ROUND(K4,0)-K4)</f>
        <v>0</v>
      </c>
      <c r="J4" s="75">
        <f>Bilanca!K12</f>
        <v>6542861</v>
      </c>
      <c r="K4" s="76">
        <f>Bilanca!L12</f>
        <v>1510439</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03322661</v>
      </c>
      <c r="C6" s="27"/>
      <c r="D6" s="27" t="s">
        <v>2272</v>
      </c>
      <c r="E6" s="27">
        <v>1</v>
      </c>
      <c r="F6" s="27">
        <f>Bilanca!I14</f>
        <v>5</v>
      </c>
      <c r="G6" s="27">
        <f>IF(Bilanca!J14=0,"",Bilanca!J14)</f>
      </c>
      <c r="H6" s="224">
        <f t="shared" si="1"/>
        <v>11231.2</v>
      </c>
      <c r="I6" s="77">
        <f t="shared" si="2"/>
        <v>0</v>
      </c>
      <c r="J6" s="75">
        <f>Bilanca!K14</f>
        <v>118604</v>
      </c>
      <c r="K6" s="76">
        <f>Bilanca!L14</f>
        <v>53010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040013304</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06531901714</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KD ČISTOĆA d.o.o. RIJEKA</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51000</v>
      </c>
      <c r="C10" s="27"/>
      <c r="D10" s="27" t="s">
        <v>2272</v>
      </c>
      <c r="E10" s="27">
        <v>1</v>
      </c>
      <c r="F10" s="27">
        <f>Bilanca!I18</f>
        <v>9</v>
      </c>
      <c r="G10" s="27">
        <f>IF(Bilanca!J18=0,"",Bilanca!J18)</f>
      </c>
      <c r="H10" s="224">
        <f t="shared" si="1"/>
        <v>840520.3500000001</v>
      </c>
      <c r="I10" s="77">
        <f t="shared" si="2"/>
        <v>0</v>
      </c>
      <c r="J10" s="75">
        <f>Bilanca!K18</f>
        <v>6424257</v>
      </c>
      <c r="K10" s="76">
        <f>Bilanca!L18</f>
        <v>1457429</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RIJEKA</v>
      </c>
      <c r="C11" s="27"/>
      <c r="D11" s="27" t="s">
        <v>2272</v>
      </c>
      <c r="E11" s="27">
        <v>1</v>
      </c>
      <c r="F11" s="27">
        <f>Bilanca!I19</f>
        <v>10</v>
      </c>
      <c r="G11" s="27" t="str">
        <f>IF(Bilanca!J19=0,"",Bilanca!J19)</f>
        <v>3(d),5.1.</v>
      </c>
      <c r="H11" s="224">
        <f t="shared" si="1"/>
        <v>38709800.800000004</v>
      </c>
      <c r="I11" s="27">
        <f t="shared" si="2"/>
        <v>0</v>
      </c>
      <c r="J11" s="75">
        <f>Bilanca!K19</f>
        <v>128919862</v>
      </c>
      <c r="K11" s="76">
        <f>Bilanca!L19</f>
        <v>129089073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Dolac 14</v>
      </c>
      <c r="C12" s="27"/>
      <c r="D12" s="27" t="s">
        <v>2272</v>
      </c>
      <c r="E12" s="27">
        <v>1</v>
      </c>
      <c r="F12" s="27">
        <f>Bilanca!I20</f>
        <v>11</v>
      </c>
      <c r="G12" s="27">
        <f>IF(Bilanca!J20=0,"",Bilanca!J20)</f>
      </c>
      <c r="H12" s="224">
        <f t="shared" si="1"/>
        <v>11750282.94</v>
      </c>
      <c r="I12" s="77">
        <f t="shared" si="2"/>
        <v>0</v>
      </c>
      <c r="J12" s="75">
        <f>Bilanca!K20</f>
        <v>35606918</v>
      </c>
      <c r="K12" s="76">
        <f>Bilanca!L20</f>
        <v>35606918</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cistoca.rijeka@cistoca-ri.hr</v>
      </c>
      <c r="C13" s="27"/>
      <c r="D13" s="27" t="s">
        <v>2272</v>
      </c>
      <c r="E13" s="27">
        <v>1</v>
      </c>
      <c r="F13" s="27">
        <f>Bilanca!I21</f>
        <v>12</v>
      </c>
      <c r="G13" s="27">
        <f>IF(Bilanca!J21=0,"",Bilanca!J21)</f>
      </c>
      <c r="H13" s="224">
        <f t="shared" si="1"/>
        <v>5966819.04</v>
      </c>
      <c r="I13" s="27">
        <f t="shared" si="2"/>
        <v>0</v>
      </c>
      <c r="J13" s="75">
        <f>Bilanca!K21</f>
        <v>18188400</v>
      </c>
      <c r="K13" s="76">
        <f>Bilanca!L21</f>
        <v>15767546</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www.cistoca-ri.hr</v>
      </c>
      <c r="C14" s="27"/>
      <c r="D14" s="27" t="s">
        <v>2272</v>
      </c>
      <c r="E14" s="27">
        <v>1</v>
      </c>
      <c r="F14" s="27">
        <f>Bilanca!I22</f>
        <v>13</v>
      </c>
      <c r="G14" s="27">
        <f>IF(Bilanca!J22=0,"",Bilanca!J22)</f>
      </c>
      <c r="H14" s="224">
        <f t="shared" si="1"/>
        <v>262427.75</v>
      </c>
      <c r="I14" s="77">
        <f t="shared" si="2"/>
        <v>0</v>
      </c>
      <c r="J14" s="75">
        <f>Bilanca!K22</f>
        <v>1031879</v>
      </c>
      <c r="K14" s="76">
        <f>Bilanca!L22</f>
        <v>493398</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08</v>
      </c>
      <c r="C15" s="27"/>
      <c r="D15" s="27" t="s">
        <v>2272</v>
      </c>
      <c r="E15" s="27">
        <v>1</v>
      </c>
      <c r="F15" s="27">
        <f>Bilanca!I23</f>
        <v>14</v>
      </c>
      <c r="G15" s="27">
        <f>IF(Bilanca!J23=0,"",Bilanca!J23)</f>
      </c>
      <c r="H15" s="224">
        <f t="shared" si="1"/>
        <v>1674900.5000000002</v>
      </c>
      <c r="I15" s="27">
        <f t="shared" si="2"/>
        <v>0</v>
      </c>
      <c r="J15" s="75">
        <f>Bilanca!K23</f>
        <v>3674879</v>
      </c>
      <c r="K15" s="76">
        <f>Bilanca!L23</f>
        <v>4144348</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373</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36817157.04</v>
      </c>
      <c r="I18" s="77">
        <f t="shared" si="2"/>
        <v>0</v>
      </c>
      <c r="J18" s="75">
        <f>Bilanca!K26</f>
        <v>70417786</v>
      </c>
      <c r="K18" s="76">
        <f>Bilanca!L26</f>
        <v>73076863</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3</v>
      </c>
      <c r="C21" s="27"/>
      <c r="D21" s="27" t="s">
        <v>2272</v>
      </c>
      <c r="E21" s="27">
        <v>1</v>
      </c>
      <c r="F21" s="27">
        <f>Bilanca!I29</f>
        <v>20</v>
      </c>
      <c r="G21" s="27" t="str">
        <f>IF(Bilanca!J29=0,"",Bilanca!J29)</f>
        <v>3(e),5.2.</v>
      </c>
      <c r="H21" s="224">
        <f t="shared" si="1"/>
        <v>736644.4</v>
      </c>
      <c r="I21" s="27">
        <f t="shared" si="2"/>
        <v>0</v>
      </c>
      <c r="J21" s="75">
        <f>Bilanca!K29</f>
        <v>1176254</v>
      </c>
      <c r="K21" s="76">
        <f>Bilanca!L29</f>
        <v>1253484</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847141.06</v>
      </c>
      <c r="I24" s="77">
        <f t="shared" si="2"/>
        <v>0</v>
      </c>
      <c r="J24" s="75">
        <f>Bilanca!K32</f>
        <v>1176254</v>
      </c>
      <c r="K24" s="76">
        <f>Bilanca!L32</f>
        <v>1253484</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439</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434</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431</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431</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t="str">
        <f>IF(Bilanca!J38=0,"",Bilanca!J38)</f>
        <v>3(f),5.3.</v>
      </c>
      <c r="H30" s="224">
        <f t="shared" si="1"/>
        <v>6110551.43</v>
      </c>
      <c r="I30" s="77">
        <f t="shared" si="2"/>
        <v>0</v>
      </c>
      <c r="J30" s="75">
        <f>Bilanca!K38</f>
        <v>1179881</v>
      </c>
      <c r="K30" s="76">
        <f>Bilanca!L38</f>
        <v>9945493</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6742677.4399999995</v>
      </c>
      <c r="I33" s="27">
        <f t="shared" si="2"/>
        <v>0</v>
      </c>
      <c r="J33" s="75">
        <f>Bilanca!K41</f>
        <v>1179881</v>
      </c>
      <c r="K33" s="76">
        <f>Bilanca!L41</f>
        <v>9945493</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t="str">
        <f>IF(Bilanca!J42=0,"",Bilanca!J42)</f>
        <v>3(g)</v>
      </c>
      <c r="H34" s="224">
        <f t="shared" si="1"/>
        <v>692106.03</v>
      </c>
      <c r="I34" s="77">
        <f t="shared" si="2"/>
        <v>0</v>
      </c>
      <c r="J34" s="75">
        <f>Bilanca!K42</f>
        <v>897291</v>
      </c>
      <c r="K34" s="76">
        <f>Bilanca!L42</f>
        <v>600000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61462103.620000005</v>
      </c>
      <c r="I35" s="27">
        <f t="shared" si="2"/>
        <v>0</v>
      </c>
      <c r="J35" s="75">
        <f>Bilanca!K43</f>
        <v>56426983</v>
      </c>
      <c r="K35" s="76">
        <f>Bilanca!L43</f>
        <v>62171955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t="str">
        <f>IF(Bilanca!J44=0,"",Bilanca!J44)</f>
        <v>3(h),5.4.</v>
      </c>
      <c r="H36" s="224">
        <f t="shared" si="1"/>
        <v>755591.55</v>
      </c>
      <c r="I36" s="77">
        <f t="shared" si="2"/>
        <v>0</v>
      </c>
      <c r="J36" s="75">
        <f>Bilanca!K44</f>
        <v>809563</v>
      </c>
      <c r="K36" s="76">
        <f>Bilanca!L44</f>
        <v>674635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777179.88</v>
      </c>
      <c r="I37" s="27">
        <f t="shared" si="2"/>
        <v>0</v>
      </c>
      <c r="J37" s="75">
        <f>Bilanca!K45</f>
        <v>809563</v>
      </c>
      <c r="K37" s="76">
        <f>Bilanca!L45</f>
        <v>674635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Bijelić Ljiljana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051353436</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051214705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cistoca.rijeka@cistoca-ri.hr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Bojana Jurdana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t="str">
        <f>IF(Bilanca!J52=0,"",Bilanca!J52)</f>
        <v>3(i)</v>
      </c>
      <c r="H44" s="224">
        <f t="shared" si="1"/>
        <v>43902235.89</v>
      </c>
      <c r="I44" s="77">
        <f t="shared" si="2"/>
        <v>0</v>
      </c>
      <c r="J44" s="75">
        <f>Bilanca!K52</f>
        <v>33940881</v>
      </c>
      <c r="K44" s="76">
        <f>Bilanca!L52</f>
        <v>34078671</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t="str">
        <f>IF(Bilanca!J54=0,"",Bilanca!J54)</f>
        <v>3(i),5.5</v>
      </c>
      <c r="H46" s="224">
        <f t="shared" si="3"/>
        <v>38927170.35</v>
      </c>
      <c r="I46" s="77">
        <f t="shared" si="4"/>
        <v>0</v>
      </c>
      <c r="J46" s="75">
        <f>Bilanca!K54</f>
        <v>26437957</v>
      </c>
      <c r="K46" s="76">
        <f>Bilanca!L54</f>
        <v>30033433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t="str">
        <f>IF(Bilanca!J56=0,"",Bilanca!J56)</f>
        <v>3(i)</v>
      </c>
      <c r="H48" s="224">
        <f t="shared" si="3"/>
        <v>3763.7599999999998</v>
      </c>
      <c r="I48" s="77">
        <f t="shared" si="4"/>
        <v>0</v>
      </c>
      <c r="J48" s="75">
        <f>Bilanca!K56</f>
        <v>100</v>
      </c>
      <c r="K48" s="76">
        <f>Bilanca!L56</f>
        <v>3954</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t="str">
        <f>IF(Bilanca!J57=0,"",Bilanca!J57)</f>
        <v>3(i),/ii/</v>
      </c>
      <c r="H49" s="224">
        <f t="shared" si="3"/>
        <v>1065496.32</v>
      </c>
      <c r="I49" s="27">
        <f t="shared" si="4"/>
        <v>0</v>
      </c>
      <c r="J49" s="75">
        <f>Bilanca!K57</f>
        <v>229412</v>
      </c>
      <c r="K49" s="76">
        <f>Bilanca!L57</f>
        <v>995186</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DA</v>
      </c>
      <c r="C50" s="27"/>
      <c r="D50" s="27" t="s">
        <v>2272</v>
      </c>
      <c r="E50" s="27">
        <v>1</v>
      </c>
      <c r="F50" s="27">
        <f>Bilanca!I58</f>
        <v>49</v>
      </c>
      <c r="G50" s="27" t="str">
        <f>IF(Bilanca!J58=0,"",Bilanca!J58)</f>
        <v>3(i),5.6.</v>
      </c>
      <c r="H50" s="224">
        <f t="shared" si="3"/>
        <v>6549147.92</v>
      </c>
      <c r="I50" s="77">
        <f t="shared" si="4"/>
        <v>0</v>
      </c>
      <c r="J50" s="75">
        <f>Bilanca!K58</f>
        <v>7273412</v>
      </c>
      <c r="K50" s="76">
        <f>Bilanca!L58</f>
        <v>3046098</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t="str">
        <f>IF(Bilanca!J59=0,"",Bilanca!J59)</f>
        <v>3(j),5.7.</v>
      </c>
      <c r="H51" s="224">
        <f t="shared" si="3"/>
        <v>17728871</v>
      </c>
      <c r="I51" s="27">
        <f t="shared" si="4"/>
        <v>0</v>
      </c>
      <c r="J51" s="75">
        <f>Bilanca!K59</f>
        <v>13683324</v>
      </c>
      <c r="K51" s="76">
        <f>Bilanca!L59</f>
        <v>10887209</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19856335.52</v>
      </c>
      <c r="I57" s="27">
        <f t="shared" si="4"/>
        <v>0</v>
      </c>
      <c r="J57" s="75">
        <f>Bilanca!K65</f>
        <v>13683324</v>
      </c>
      <c r="K57" s="76">
        <f>Bilanca!L65</f>
        <v>10887209</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5718015012.310001</v>
      </c>
      <c r="C59" s="27"/>
      <c r="D59" s="27" t="s">
        <v>2272</v>
      </c>
      <c r="E59" s="27">
        <v>1</v>
      </c>
      <c r="F59" s="27">
        <f>Bilanca!I67</f>
        <v>58</v>
      </c>
      <c r="G59" s="27" t="str">
        <f>IF(Bilanca!J67=0,"",Bilanca!J67)</f>
        <v>3(k),5.8.</v>
      </c>
      <c r="H59" s="224">
        <f t="shared" si="3"/>
        <v>23812535.099999998</v>
      </c>
      <c r="I59" s="27">
        <f t="shared" si="4"/>
        <v>0</v>
      </c>
      <c r="J59" s="75">
        <f>Bilanca!K67</f>
        <v>7993215</v>
      </c>
      <c r="K59" s="76">
        <f>Bilanca!L67</f>
        <v>16531440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362570412</v>
      </c>
      <c r="I61" s="27">
        <f>ABS(ROUND(J61,0)-J61)+ABS(ROUND(K61,0)-K61)</f>
        <v>0</v>
      </c>
      <c r="J61" s="75">
        <f>Bilanca!K69</f>
        <v>195143132</v>
      </c>
      <c r="K61" s="76">
        <f>Bilanca!L69</f>
        <v>204570444</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DA</v>
      </c>
      <c r="C62" s="27"/>
      <c r="D62" s="27" t="s">
        <v>2272</v>
      </c>
      <c r="E62" s="27">
        <v>1</v>
      </c>
      <c r="F62" s="27">
        <f>Bilanca!I70</f>
        <v>61</v>
      </c>
      <c r="G62" s="27" t="str">
        <f>IF(Bilanca!J70=0,"",Bilanca!J70)</f>
        <v>3(r),5.14</v>
      </c>
      <c r="H62" s="224">
        <f>J62/100*F62+2*K62/100*F62</f>
        <v>89464349.48</v>
      </c>
      <c r="I62" s="77">
        <f>ABS(ROUND(J62,0)-J62)+ABS(ROUND(K62,0)-K62)</f>
        <v>0</v>
      </c>
      <c r="J62" s="75">
        <f>Bilanca!K70</f>
        <v>61307568</v>
      </c>
      <c r="K62" s="76">
        <f>Bilanca!L70</f>
        <v>42677650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52211079872</v>
      </c>
      <c r="C63" s="27"/>
      <c r="D63" s="27" t="s">
        <v>2272</v>
      </c>
      <c r="E63" s="27">
        <v>1</v>
      </c>
      <c r="F63" s="27">
        <f>Bilanca!I72</f>
        <v>62</v>
      </c>
      <c r="G63" s="27" t="str">
        <f>IF(Bilanca!J72=0,"",Bilanca!J72)</f>
        <v>3(l),5.9.</v>
      </c>
      <c r="H63" s="224">
        <f>J63/100*F63+2*K63/100*F63</f>
        <v>130803063.46000001</v>
      </c>
      <c r="I63" s="27">
        <f>ABS(ROUND(J63,0)-J63)+ABS(ROUND(K63,0)-K63)</f>
        <v>0</v>
      </c>
      <c r="J63" s="75">
        <f>Bilanca!K72</f>
        <v>74337165</v>
      </c>
      <c r="K63" s="76">
        <f>Bilanca!L72</f>
        <v>68317759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43528590</v>
      </c>
      <c r="I64" s="27">
        <f>ABS(ROUND(J64,0)-J64)+ABS(ROUND(K64,0)-K64)</f>
        <v>0</v>
      </c>
      <c r="J64" s="75">
        <f>Bilanca!K73</f>
        <v>23031000</v>
      </c>
      <c r="K64" s="76">
        <f>Bilanca!L73</f>
        <v>23031000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69111953.28</v>
      </c>
      <c r="I65" s="27">
        <f aca="true" t="shared" si="6" ref="I65:I98">ABS(ROUND(J65,0)-J65)+ABS(ROUND(K65,0)-K65)</f>
        <v>0</v>
      </c>
      <c r="J65" s="75">
        <f>Bilanca!K74</f>
        <v>40140617</v>
      </c>
      <c r="K65" s="76">
        <f>Bilanca!L74</f>
        <v>33923405</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314854.80000000005</v>
      </c>
      <c r="I66" s="27">
        <f t="shared" si="6"/>
        <v>0</v>
      </c>
      <c r="J66" s="75">
        <f>Bilanca!K75</f>
        <v>161464</v>
      </c>
      <c r="K66" s="76">
        <f>Bilanca!L75</f>
        <v>161464</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339074.4</v>
      </c>
      <c r="I71" s="27">
        <f t="shared" si="6"/>
        <v>0</v>
      </c>
      <c r="J71" s="75">
        <f>Bilanca!K80</f>
        <v>161464</v>
      </c>
      <c r="K71" s="76">
        <f>Bilanca!L80</f>
        <v>161464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329312.91000000003</v>
      </c>
      <c r="I72" s="27">
        <f t="shared" si="6"/>
        <v>0</v>
      </c>
      <c r="J72" s="75">
        <f>Bilanca!K81</f>
        <v>154607</v>
      </c>
      <c r="K72" s="76">
        <f>Bilanca!L81</f>
        <v>154607</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22220596.8</v>
      </c>
      <c r="I73" s="27">
        <f t="shared" si="6"/>
        <v>0</v>
      </c>
      <c r="J73" s="75">
        <f>Bilanca!K82</f>
        <v>9162986</v>
      </c>
      <c r="K73" s="76">
        <f>Bilanca!L82</f>
        <v>10849477</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22529216.2</v>
      </c>
      <c r="I74" s="27">
        <f t="shared" si="6"/>
        <v>0</v>
      </c>
      <c r="J74" s="75">
        <f>Bilanca!K83</f>
        <v>9162986</v>
      </c>
      <c r="K74" s="76">
        <f>Bilanca!L83</f>
        <v>10849477</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1561577.25</v>
      </c>
      <c r="I76" s="27">
        <f t="shared" si="6"/>
        <v>0</v>
      </c>
      <c r="J76" s="75">
        <f>Bilanca!K85</f>
        <v>1686491</v>
      </c>
      <c r="K76" s="76">
        <f>Bilanca!L85</f>
        <v>197806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1582398.2799999998</v>
      </c>
      <c r="I77" s="27">
        <f t="shared" si="6"/>
        <v>0</v>
      </c>
      <c r="J77" s="75">
        <f>Bilanca!K86</f>
        <v>1686491</v>
      </c>
      <c r="K77" s="76">
        <f>Bilanca!L86</f>
        <v>197806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t="str">
        <f>IF(Bilanca!J89=0,"",Bilanca!J89)</f>
        <v>3(m),5.10</v>
      </c>
      <c r="H80" s="224">
        <f t="shared" si="5"/>
        <v>13717489.69</v>
      </c>
      <c r="I80" s="27">
        <f t="shared" si="6"/>
        <v>0</v>
      </c>
      <c r="J80" s="75">
        <f>Bilanca!K89</f>
        <v>7268517</v>
      </c>
      <c r="K80" s="76">
        <f>Bilanca!L89</f>
        <v>5047697</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3830172</v>
      </c>
      <c r="I81" s="27">
        <f t="shared" si="6"/>
        <v>0</v>
      </c>
      <c r="J81" s="75">
        <f>Bilanca!K90</f>
        <v>1639119</v>
      </c>
      <c r="K81" s="76">
        <f>Bilanca!L90</f>
        <v>1574298</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10312480.719999999</v>
      </c>
      <c r="I83" s="27">
        <f t="shared" si="6"/>
        <v>0</v>
      </c>
      <c r="J83" s="75">
        <f>Bilanca!K92</f>
        <v>5629398</v>
      </c>
      <c r="K83" s="76">
        <f>Bilanca!L92</f>
        <v>3473399</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t="str">
        <f>IF(Bilanca!J93=0,"",Bilanca!J93)</f>
        <v>3(n)</v>
      </c>
      <c r="H84" s="224">
        <f t="shared" si="5"/>
        <v>30954549.54</v>
      </c>
      <c r="I84" s="27">
        <f t="shared" si="6"/>
        <v>0</v>
      </c>
      <c r="J84" s="75">
        <f>Bilanca!K93</f>
        <v>15945300</v>
      </c>
      <c r="K84" s="76">
        <f>Bilanca!L93</f>
        <v>10674669</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t="str">
        <f>IF(Bilanca!J96=0,"",Bilanca!J96)</f>
        <v>5.11.</v>
      </c>
      <c r="H87" s="224">
        <f t="shared" si="5"/>
        <v>24809593.04</v>
      </c>
      <c r="I87" s="27">
        <f t="shared" si="6"/>
        <v>0</v>
      </c>
      <c r="J87" s="75">
        <f>Bilanca!K96</f>
        <v>10448858</v>
      </c>
      <c r="K87" s="76">
        <f>Bilanca!L96</f>
        <v>9199753</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t="str">
        <f>IF(Bilanca!J98=0,"",Bilanca!J98)</f>
        <v>5.11.</v>
      </c>
      <c r="H89" s="224">
        <f t="shared" si="5"/>
        <v>7432721.12</v>
      </c>
      <c r="I89" s="27">
        <f t="shared" si="6"/>
        <v>0</v>
      </c>
      <c r="J89" s="75">
        <f>Bilanca!K98</f>
        <v>5496442</v>
      </c>
      <c r="K89" s="76">
        <f>Bilanca!L98</f>
        <v>1474916</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t="str">
        <f>IF(Bilanca!J103=0,"",Bilanca!J103)</f>
        <v>3(o)</v>
      </c>
      <c r="H94" s="224">
        <f t="shared" si="5"/>
        <v>73960964.67</v>
      </c>
      <c r="I94" s="27">
        <f t="shared" si="6"/>
        <v>0</v>
      </c>
      <c r="J94" s="75">
        <f>Bilanca!K103</f>
        <v>20192267</v>
      </c>
      <c r="K94" s="76">
        <f>Bilanca!L103</f>
        <v>29667826</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t="str">
        <f>IF(Bilanca!J106=0,"",Bilanca!J106)</f>
        <v>3(o),i</v>
      </c>
      <c r="H97" s="224">
        <f t="shared" si="5"/>
        <v>4576418.879999999</v>
      </c>
      <c r="I97" s="27">
        <f t="shared" si="6"/>
        <v>0</v>
      </c>
      <c r="J97" s="75">
        <f>Bilanca!K106</f>
        <v>246083</v>
      </c>
      <c r="K97" s="76">
        <f>Bilanca!L106</f>
        <v>2260510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t="str">
        <f>IF(Bilanca!J108=0,"",Bilanca!J108)</f>
        <v>3(o),ii</v>
      </c>
      <c r="H99" s="224">
        <f aca="true" t="shared" si="8" ref="H99:H107">J99/100*F99+2*K99/100*F99</f>
        <v>16964658.48</v>
      </c>
      <c r="I99" s="27">
        <f aca="true" t="shared" si="9" ref="I99:I107">ABS(ROUND(J99,0)-J99)+ABS(ROUND(K99,0)-K99)</f>
        <v>0</v>
      </c>
      <c r="J99" s="75">
        <f>Bilanca!K108</f>
        <v>8290752</v>
      </c>
      <c r="K99" s="76">
        <f>Bilanca!L108</f>
        <v>4510062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t="str">
        <f>IF(Bilanca!J111=0,"",Bilanca!J111)</f>
        <v>3(o),iii</v>
      </c>
      <c r="H102" s="224">
        <f t="shared" si="8"/>
        <v>7257416.609999999</v>
      </c>
      <c r="I102" s="27">
        <f t="shared" si="9"/>
        <v>0</v>
      </c>
      <c r="J102" s="75">
        <f>Bilanca!K111</f>
        <v>2354247</v>
      </c>
      <c r="K102" s="76">
        <f>Bilanca!L111</f>
        <v>2415657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t="str">
        <f>IF(Bilanca!J112=0,"",Bilanca!J112)</f>
        <v>3(o),iv</v>
      </c>
      <c r="H103" s="224">
        <f t="shared" si="8"/>
        <v>7481599.0200000005</v>
      </c>
      <c r="I103" s="27">
        <f t="shared" si="9"/>
        <v>0</v>
      </c>
      <c r="J103" s="75">
        <f>Bilanca!K112</f>
        <v>2679171</v>
      </c>
      <c r="K103" s="76">
        <f>Bilanca!L112</f>
        <v>2327865</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t="str">
        <f>IF(Bilanca!J115=0,"",Bilanca!J115)</f>
        <v>3(o),5.12</v>
      </c>
      <c r="H106" s="224">
        <f t="shared" si="8"/>
        <v>45075951.900000006</v>
      </c>
      <c r="I106" s="27">
        <f t="shared" si="9"/>
        <v>0</v>
      </c>
      <c r="J106" s="75">
        <f>Bilanca!K115</f>
        <v>6622014</v>
      </c>
      <c r="K106" s="76">
        <f>Bilanca!L115</f>
        <v>18153732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3(p),5.13</v>
      </c>
      <c r="H107" s="224">
        <f t="shared" si="8"/>
        <v>274672361.14</v>
      </c>
      <c r="I107" s="27">
        <f t="shared" si="9"/>
        <v>0</v>
      </c>
      <c r="J107" s="75">
        <f>Bilanca!K116</f>
        <v>77399883</v>
      </c>
      <c r="K107" s="76">
        <f>Bilanca!L116</f>
        <v>90862493</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646583901.4</v>
      </c>
      <c r="I108" s="27">
        <f aca="true" t="shared" si="11" ref="I108:I113">ABS(ROUND(J108,0)-J108)+ABS(ROUND(K108,0)-K108)</f>
        <v>0</v>
      </c>
      <c r="J108" s="75">
        <f>Bilanca!K117</f>
        <v>195143132</v>
      </c>
      <c r="K108" s="76">
        <f>Bilanca!L117</f>
        <v>204570444</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158395897.44</v>
      </c>
      <c r="I109" s="27">
        <f t="shared" si="11"/>
        <v>0</v>
      </c>
      <c r="J109" s="75">
        <f>Bilanca!K118</f>
        <v>61307568</v>
      </c>
      <c r="K109" s="76">
        <f>Bilanca!L118</f>
        <v>42677650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t="str">
        <f>IF(RDG!J9=0,"",RDG!J9)</f>
        <v>3(a),4.1.</v>
      </c>
      <c r="H112" s="224">
        <f t="shared" si="10"/>
        <v>317043563.52</v>
      </c>
      <c r="I112" s="27">
        <f t="shared" si="11"/>
        <v>0</v>
      </c>
      <c r="J112" s="75">
        <f>RDG!K9</f>
        <v>97280750</v>
      </c>
      <c r="K112" s="76">
        <f>RDG!L9</f>
        <v>94172041</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t="str">
        <f>IF(RDG!J10=0,"",RDG!J10)</f>
        <v>3(a),/i/</v>
      </c>
      <c r="H113" s="224">
        <f t="shared" si="10"/>
        <v>254143908.48</v>
      </c>
      <c r="I113" s="27">
        <f t="shared" si="11"/>
        <v>0</v>
      </c>
      <c r="J113" s="75">
        <f>RDG!K10</f>
        <v>77087238</v>
      </c>
      <c r="K113" s="76">
        <f>RDG!L10</f>
        <v>74913483</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t="str">
        <f>IF(RDG!J11=0,"",RDG!J11)</f>
        <v>3(a),/ii/</v>
      </c>
      <c r="H114" s="224">
        <f aca="true" t="shared" si="12" ref="H114:H158">J114/100*F114+2*K114/100*F114</f>
        <v>66343009.64</v>
      </c>
      <c r="I114" s="27">
        <f aca="true" t="shared" si="13" ref="I114:I158">ABS(ROUND(J114,0)-J114)+ABS(ROUND(K114,0)-K114)</f>
        <v>0</v>
      </c>
      <c r="J114" s="75">
        <f>RDG!K11</f>
        <v>20193512</v>
      </c>
      <c r="K114" s="76">
        <f>RDG!L11</f>
        <v>19258558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t="str">
        <f>IF(RDG!J12=0,"",RDG!J12)</f>
        <v>3(b),4.2.</v>
      </c>
      <c r="H115" s="224">
        <f t="shared" si="12"/>
        <v>321950378.82</v>
      </c>
      <c r="I115" s="27">
        <f t="shared" si="13"/>
        <v>0</v>
      </c>
      <c r="J115" s="75">
        <f>RDG!K12</f>
        <v>95083055</v>
      </c>
      <c r="K115" s="76">
        <f>RDG!L12</f>
        <v>93664779</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t="str">
        <f>IF(RDG!J14=0,"",RDG!J14)</f>
        <v>3(b),/i/</v>
      </c>
      <c r="H117" s="224">
        <f t="shared" si="12"/>
        <v>73798849.68</v>
      </c>
      <c r="I117" s="27">
        <f t="shared" si="13"/>
        <v>0</v>
      </c>
      <c r="J117" s="75">
        <f>RDG!K14</f>
        <v>22637936</v>
      </c>
      <c r="K117" s="76">
        <f>RDG!L14</f>
        <v>20490881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41370281.55</v>
      </c>
      <c r="I118" s="27">
        <f t="shared" si="13"/>
        <v>0</v>
      </c>
      <c r="J118" s="75">
        <f>RDG!K15</f>
        <v>12904757</v>
      </c>
      <c r="K118" s="76">
        <f>RDG!L15</f>
        <v>11227229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33629974.77</v>
      </c>
      <c r="I120" s="27">
        <f t="shared" si="13"/>
        <v>0</v>
      </c>
      <c r="J120" s="75">
        <f>RDG!K17</f>
        <v>9733179</v>
      </c>
      <c r="K120" s="76">
        <f>RDG!L17</f>
        <v>9263652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t="str">
        <f>IF(RDG!J18=0,"",RDG!J18)</f>
        <v>3(b),/ii/</v>
      </c>
      <c r="H121" s="224">
        <f t="shared" si="12"/>
        <v>158081426.4</v>
      </c>
      <c r="I121" s="27">
        <f t="shared" si="13"/>
        <v>0</v>
      </c>
      <c r="J121" s="75">
        <f>RDG!K18</f>
        <v>42808552</v>
      </c>
      <c r="K121" s="76">
        <f>RDG!L18</f>
        <v>44462985</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98980926.99</v>
      </c>
      <c r="I122" s="27">
        <f t="shared" si="13"/>
        <v>0</v>
      </c>
      <c r="J122" s="75">
        <f>RDG!K19</f>
        <v>26856793</v>
      </c>
      <c r="K122" s="76">
        <f>RDG!L19</f>
        <v>27472813</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37235167.38</v>
      </c>
      <c r="I123" s="27">
        <f t="shared" si="13"/>
        <v>0</v>
      </c>
      <c r="J123" s="75">
        <f>RDG!K20</f>
        <v>9952661</v>
      </c>
      <c r="K123" s="76">
        <f>RDG!L20</f>
        <v>10283984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23876113.02</v>
      </c>
      <c r="I124" s="27">
        <f t="shared" si="13"/>
        <v>0</v>
      </c>
      <c r="J124" s="75">
        <f>RDG!K21</f>
        <v>5999098</v>
      </c>
      <c r="K124" s="76">
        <f>RDG!L21</f>
        <v>6706188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t="str">
        <f>IF(RDG!J22=0,"",RDG!J22)</f>
        <v>3(b),/iii</v>
      </c>
      <c r="H125" s="224">
        <f t="shared" si="12"/>
        <v>42195141.6</v>
      </c>
      <c r="I125" s="27">
        <f t="shared" si="13"/>
        <v>0</v>
      </c>
      <c r="J125" s="75">
        <f>RDG!K22</f>
        <v>13889442</v>
      </c>
      <c r="K125" s="76">
        <f>RDG!L22</f>
        <v>10069449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t="str">
        <f>IF(RDG!J23=0,"",RDG!J23)</f>
        <v>3(b),/iv/</v>
      </c>
      <c r="H126" s="224">
        <f t="shared" si="12"/>
        <v>40232756.25</v>
      </c>
      <c r="I126" s="27">
        <f t="shared" si="13"/>
        <v>0</v>
      </c>
      <c r="J126" s="75">
        <f>RDG!K23</f>
        <v>5796519</v>
      </c>
      <c r="K126" s="76">
        <f>RDG!L23</f>
        <v>13194843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t="str">
        <f>IF(RDG!J24=0,"",RDG!J24)</f>
        <v>3(b),/v/</v>
      </c>
      <c r="H127" s="224">
        <f t="shared" si="12"/>
        <v>15527463.84</v>
      </c>
      <c r="I127" s="27">
        <f t="shared" si="13"/>
        <v>0</v>
      </c>
      <c r="J127" s="75">
        <f>RDG!K24</f>
        <v>6405646</v>
      </c>
      <c r="K127" s="76">
        <f>RDG!L24</f>
        <v>2958869</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15773931.52</v>
      </c>
      <c r="I129" s="27">
        <f t="shared" si="13"/>
        <v>0</v>
      </c>
      <c r="J129" s="75">
        <f>RDG!K26</f>
        <v>6405646</v>
      </c>
      <c r="K129" s="76">
        <f>RDG!L26</f>
        <v>2958869</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t="str">
        <f>IF(RDG!J27=0,"",RDG!J27)</f>
        <v>3(b),/vi/</v>
      </c>
      <c r="H130" s="224">
        <f t="shared" si="12"/>
        <v>8957642.610000001</v>
      </c>
      <c r="I130" s="27">
        <f t="shared" si="13"/>
        <v>0</v>
      </c>
      <c r="J130" s="75">
        <f>RDG!K27</f>
        <v>3388115</v>
      </c>
      <c r="K130" s="76">
        <f>RDG!L27</f>
        <v>1777897</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t="str">
        <f>IF(RDG!J28=0,"",RDG!J28)</f>
        <v>3(b),/vii</v>
      </c>
      <c r="H131" s="224">
        <f t="shared" si="12"/>
        <v>2049521.5</v>
      </c>
      <c r="I131" s="27">
        <f t="shared" si="13"/>
        <v>0</v>
      </c>
      <c r="J131" s="75">
        <f>RDG!K28</f>
        <v>156845</v>
      </c>
      <c r="K131" s="76">
        <f>RDG!L28</f>
        <v>709855</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t="str">
        <f>IF(RDG!J29=0,"",RDG!J29)</f>
        <v>3(a),4.3.</v>
      </c>
      <c r="H132" s="224">
        <f t="shared" si="12"/>
        <v>3801126.13</v>
      </c>
      <c r="I132" s="27">
        <f t="shared" si="13"/>
        <v>0</v>
      </c>
      <c r="J132" s="75">
        <f>RDG!K29</f>
        <v>949855</v>
      </c>
      <c r="K132" s="76">
        <f>RDG!L29</f>
        <v>975884</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3653274.59</v>
      </c>
      <c r="I134" s="27">
        <f t="shared" si="13"/>
        <v>0</v>
      </c>
      <c r="J134" s="75">
        <f>RDG!K31</f>
        <v>943055</v>
      </c>
      <c r="K134" s="76">
        <f>RDG!L31</f>
        <v>901884</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210528</v>
      </c>
      <c r="I137" s="27">
        <f t="shared" si="13"/>
        <v>0</v>
      </c>
      <c r="J137" s="75">
        <f>RDG!K34</f>
        <v>6800</v>
      </c>
      <c r="K137" s="76">
        <f>RDG!L34</f>
        <v>74000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t="str">
        <f>IF(RDG!J35=0,"",RDG!J35)</f>
        <v>3(b),4.4.</v>
      </c>
      <c r="H138" s="224">
        <f t="shared" si="12"/>
        <v>3080124.42</v>
      </c>
      <c r="I138" s="27">
        <f t="shared" si="13"/>
        <v>0</v>
      </c>
      <c r="J138" s="75">
        <f>RDG!K35</f>
        <v>599246</v>
      </c>
      <c r="K138" s="76">
        <f>RDG!L35</f>
        <v>824510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426830.07999999996</v>
      </c>
      <c r="I140" s="27">
        <f t="shared" si="13"/>
        <v>0</v>
      </c>
      <c r="J140" s="75">
        <f>RDG!K37</f>
        <v>129936</v>
      </c>
      <c r="K140" s="76">
        <f>RDG!L37</f>
        <v>88568</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2737083.54</v>
      </c>
      <c r="I142" s="27">
        <f t="shared" si="13"/>
        <v>0</v>
      </c>
      <c r="J142" s="75">
        <f>RDG!K39</f>
        <v>469310</v>
      </c>
      <c r="K142" s="76">
        <f>RDG!L39</f>
        <v>735942</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421248624.3</v>
      </c>
      <c r="I147" s="27">
        <f t="shared" si="13"/>
        <v>0</v>
      </c>
      <c r="J147" s="75">
        <f>RDG!K44</f>
        <v>98230605</v>
      </c>
      <c r="K147" s="76">
        <f>RDG!L44</f>
        <v>95147925</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418451492.13</v>
      </c>
      <c r="I148" s="27">
        <f t="shared" si="13"/>
        <v>0</v>
      </c>
      <c r="J148" s="75">
        <f>RDG!K45</f>
        <v>95682301</v>
      </c>
      <c r="K148" s="76">
        <f>RDG!L45</f>
        <v>94489289</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t="str">
        <f>IF(RDG!J46=0,"",RDG!J46)</f>
        <v>3(c),4.6.</v>
      </c>
      <c r="H149" s="224">
        <f t="shared" si="12"/>
        <v>5721052.4799999995</v>
      </c>
      <c r="I149" s="27">
        <f t="shared" si="13"/>
        <v>0</v>
      </c>
      <c r="J149" s="75">
        <f>RDG!K46</f>
        <v>2548304</v>
      </c>
      <c r="K149" s="76">
        <f>RDG!L46</f>
        <v>658636</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5759708.24</v>
      </c>
      <c r="I150" s="27">
        <f t="shared" si="13"/>
        <v>0</v>
      </c>
      <c r="J150" s="75">
        <f>RDG!K47</f>
        <v>2548304</v>
      </c>
      <c r="K150" s="76">
        <f>RDG!L47</f>
        <v>658636</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t="str">
        <f>IF(RDG!J49=0,"",RDG!J49)</f>
        <v>3(c),4.6.</v>
      </c>
      <c r="H152" s="224">
        <f t="shared" si="12"/>
        <v>2693044.23</v>
      </c>
      <c r="I152" s="27">
        <f t="shared" si="13"/>
        <v>0</v>
      </c>
      <c r="J152" s="75">
        <f>RDG!K49</f>
        <v>861813</v>
      </c>
      <c r="K152" s="76">
        <f>RDG!L49</f>
        <v>460830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t="str">
        <f>IF(RDG!J50=0,"",RDG!J50)</f>
        <v>3(c),4.6.</v>
      </c>
      <c r="H153" s="224">
        <f t="shared" si="12"/>
        <v>3164796.5599999996</v>
      </c>
      <c r="I153" s="27">
        <f t="shared" si="13"/>
        <v>0</v>
      </c>
      <c r="J153" s="75">
        <f>RDG!K50</f>
        <v>1686491</v>
      </c>
      <c r="K153" s="76">
        <f>RDG!L50</f>
        <v>197806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3185617.59</v>
      </c>
      <c r="I154" s="27">
        <f t="shared" si="13"/>
        <v>0</v>
      </c>
      <c r="J154" s="75">
        <f>RDG!K51</f>
        <v>1686491</v>
      </c>
      <c r="K154" s="76">
        <f>RDG!L51</f>
        <v>197806</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t="str">
        <f>IF(RDG!J58=0,"",RDG!J58)</f>
        <v>4.7.</v>
      </c>
      <c r="H158" s="224">
        <f t="shared" si="12"/>
        <v>3268901.71</v>
      </c>
      <c r="I158" s="27">
        <f t="shared" si="13"/>
        <v>0</v>
      </c>
      <c r="J158" s="75">
        <f>RDG!K58</f>
        <v>1686491</v>
      </c>
      <c r="K158" s="76">
        <f>RDG!L58</f>
        <v>197806</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t="str">
        <f>IF(RDG!J69=0,"",RDG!J69)</f>
        <v>4.7.</v>
      </c>
      <c r="H169" s="224">
        <f t="shared" si="14"/>
        <v>3497933.04</v>
      </c>
      <c r="I169" s="27">
        <f t="shared" si="15"/>
        <v>0</v>
      </c>
      <c r="J169" s="75">
        <f>RDG!K69</f>
        <v>1686491</v>
      </c>
      <c r="K169" s="76">
        <f>RDG!L69</f>
        <v>197806</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2728942.08</v>
      </c>
      <c r="I348" s="27">
        <f aca="true" t="shared" si="25" ref="I348:I392">ABS(ROUND(J348,0)-J348)+ABS(ROUND(K348,0)-K348)</f>
        <v>0</v>
      </c>
      <c r="J348" s="75">
        <f>NT_D!K10</f>
        <v>93539400</v>
      </c>
      <c r="K348" s="76">
        <f>NT_D!L10</f>
        <v>89677404</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28543.5</v>
      </c>
      <c r="I350" s="27">
        <f t="shared" si="25"/>
        <v>0</v>
      </c>
      <c r="J350" s="75">
        <f>NT_D!K12</f>
        <v>253874</v>
      </c>
      <c r="K350" s="76">
        <f>NT_D!L12</f>
        <v>348788</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570130</v>
      </c>
      <c r="I352" s="27">
        <f t="shared" si="25"/>
        <v>0</v>
      </c>
      <c r="J352" s="75">
        <f>NT_D!K14</f>
        <v>3253892</v>
      </c>
      <c r="K352" s="76">
        <f>NT_D!L14</f>
        <v>4074354</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17114895.48</v>
      </c>
      <c r="I353" s="27">
        <f t="shared" si="25"/>
        <v>0</v>
      </c>
      <c r="J353" s="75">
        <f>NT_D!K15</f>
        <v>97047166</v>
      </c>
      <c r="K353" s="76">
        <f>NT_D!L15</f>
        <v>94100546</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7295249.64</v>
      </c>
      <c r="I354" s="27">
        <f t="shared" si="25"/>
        <v>0</v>
      </c>
      <c r="J354" s="75">
        <f>NT_D!K16</f>
        <v>32073482</v>
      </c>
      <c r="K354" s="76">
        <f>NT_D!L16</f>
        <v>36072185</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7358258.72</v>
      </c>
      <c r="I355" s="27">
        <f t="shared" si="25"/>
        <v>0</v>
      </c>
      <c r="J355" s="75">
        <f>NT_D!K17</f>
        <v>30429298</v>
      </c>
      <c r="K355" s="76">
        <f>NT_D!L17</f>
        <v>30774468</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266352.83999999997</v>
      </c>
      <c r="I356" s="27">
        <f t="shared" si="25"/>
        <v>0</v>
      </c>
      <c r="J356" s="75">
        <f>NT_D!K18</f>
        <v>926496</v>
      </c>
      <c r="K356" s="76">
        <f>NT_D!L18</f>
        <v>1016490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14513.400000000001</v>
      </c>
      <c r="I357" s="27">
        <f t="shared" si="25"/>
        <v>0</v>
      </c>
      <c r="J357" s="75">
        <f>NT_D!K19</f>
        <v>42012</v>
      </c>
      <c r="K357" s="76">
        <f>NT_D!L19</f>
        <v>51561</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5162323.76</v>
      </c>
      <c r="I358" s="27">
        <f t="shared" si="25"/>
        <v>0</v>
      </c>
      <c r="J358" s="75">
        <f>NT_D!K20</f>
        <v>12093438</v>
      </c>
      <c r="K358" s="76">
        <f>NT_D!L20</f>
        <v>17418389</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5507256.96</v>
      </c>
      <c r="I359" s="27">
        <f t="shared" si="25"/>
        <v>0</v>
      </c>
      <c r="J359" s="75">
        <f>NT_D!K21</f>
        <v>14713916</v>
      </c>
      <c r="K359" s="76">
        <f>NT_D!L21</f>
        <v>15589946</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37976213.6</v>
      </c>
      <c r="I360" s="27">
        <f t="shared" si="25"/>
        <v>0</v>
      </c>
      <c r="J360" s="75">
        <f>NT_D!K22</f>
        <v>90278642</v>
      </c>
      <c r="K360" s="76">
        <f>NT_D!L22</f>
        <v>100923039</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t="str">
        <f>IF(NT_D!J23&lt;&gt;"",NT_D!J23,"")</f>
        <v>6./i/</v>
      </c>
      <c r="H361" s="224">
        <f t="shared" si="24"/>
        <v>947593.3600000001</v>
      </c>
      <c r="I361" s="27">
        <f t="shared" si="25"/>
        <v>0</v>
      </c>
      <c r="J361" s="75">
        <f>NT_D!K23</f>
        <v>6768524</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2046747.9</v>
      </c>
      <c r="I362" s="27">
        <f t="shared" si="25"/>
        <v>0</v>
      </c>
      <c r="J362" s="75">
        <f>NT_D!K24</f>
        <v>0</v>
      </c>
      <c r="K362" s="76">
        <f>NT_D!L24</f>
        <v>6822493</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130392.96</v>
      </c>
      <c r="I363" s="27">
        <f t="shared" si="25"/>
        <v>0</v>
      </c>
      <c r="J363" s="75">
        <f>NT_D!K26</f>
        <v>411856</v>
      </c>
      <c r="K363" s="76">
        <f>NT_D!L26</f>
        <v>201550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24169184</v>
      </c>
      <c r="I367" s="27">
        <f t="shared" si="25"/>
        <v>0</v>
      </c>
      <c r="J367" s="75">
        <f>NT_D!K30</f>
        <v>39606344</v>
      </c>
      <c r="K367" s="76">
        <f>NT_D!L30</f>
        <v>40619788</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25548783.96</v>
      </c>
      <c r="I368" s="27">
        <f t="shared" si="25"/>
        <v>0</v>
      </c>
      <c r="J368" s="75">
        <f>NT_D!K31</f>
        <v>40018200</v>
      </c>
      <c r="K368" s="76">
        <f>NT_D!L31</f>
        <v>40821338</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13123181.280000001</v>
      </c>
      <c r="I369" s="27">
        <f t="shared" si="25"/>
        <v>0</v>
      </c>
      <c r="J369" s="75">
        <f>NT_D!K32</f>
        <v>34870458</v>
      </c>
      <c r="K369" s="76">
        <f>NT_D!L32</f>
        <v>12390183</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12527963.52</v>
      </c>
      <c r="I371" s="27">
        <f t="shared" si="25"/>
        <v>0</v>
      </c>
      <c r="J371" s="75">
        <f>NT_D!K34</f>
        <v>20606280</v>
      </c>
      <c r="K371" s="76">
        <f>NT_D!L34</f>
        <v>15796784</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27962668</v>
      </c>
      <c r="I372" s="27">
        <f t="shared" si="25"/>
        <v>0</v>
      </c>
      <c r="J372" s="75">
        <f>NT_D!K35</f>
        <v>55476738</v>
      </c>
      <c r="K372" s="76">
        <f>NT_D!L35</f>
        <v>28186967</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t="str">
        <f>IF(NT_D!J36&lt;&gt;"",NT_D!J36,"")</f>
        <v>6./ii/</v>
      </c>
      <c r="H373" s="224">
        <f t="shared" si="24"/>
        <v>6569872.92</v>
      </c>
      <c r="I373" s="27">
        <f t="shared" si="25"/>
        <v>0</v>
      </c>
      <c r="J373" s="75">
        <f>NT_D!K36</f>
        <v>0</v>
      </c>
      <c r="K373" s="76">
        <f>NT_D!L36</f>
        <v>12634371</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4173805.2600000002</v>
      </c>
      <c r="I374" s="27">
        <f t="shared" si="25"/>
        <v>0</v>
      </c>
      <c r="J374" s="75">
        <f>NT_D!K37</f>
        <v>15458538</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2285226</v>
      </c>
      <c r="I377" s="27">
        <f t="shared" si="25"/>
        <v>0</v>
      </c>
      <c r="J377" s="75">
        <f>NT_D!K41</f>
        <v>1382060</v>
      </c>
      <c r="K377" s="76">
        <f>NT_D!L41</f>
        <v>3117680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t="str">
        <f>IF(NT_D!J42&lt;&gt;"",NT_D!J42,"")</f>
        <v>6./iii/</v>
      </c>
      <c r="H378" s="224">
        <f t="shared" si="24"/>
        <v>2361400.1999999997</v>
      </c>
      <c r="I378" s="27">
        <f t="shared" si="25"/>
        <v>0</v>
      </c>
      <c r="J378" s="75">
        <f>NT_D!K42</f>
        <v>1382060</v>
      </c>
      <c r="K378" s="76">
        <f>NT_D!L42</f>
        <v>3117680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247218.76</v>
      </c>
      <c r="I381" s="27">
        <f t="shared" si="25"/>
        <v>0</v>
      </c>
      <c r="J381" s="75">
        <f>NT_D!K45</f>
        <v>232218</v>
      </c>
      <c r="K381" s="76">
        <f>NT_D!L45</f>
        <v>247448</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2534400</v>
      </c>
      <c r="I383" s="27">
        <f t="shared" si="25"/>
        <v>0</v>
      </c>
      <c r="J383" s="75">
        <f>NT_D!K47</f>
        <v>1160000</v>
      </c>
      <c r="K383" s="76">
        <f>NT_D!L47</f>
        <v>2940000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t="str">
        <f>IF(NT_D!J48&lt;&gt;"",NT_D!J48,"")</f>
        <v>6./iii/</v>
      </c>
      <c r="H384" s="224">
        <f t="shared" si="24"/>
        <v>2873832.18</v>
      </c>
      <c r="I384" s="27">
        <f t="shared" si="25"/>
        <v>0</v>
      </c>
      <c r="J384" s="75">
        <f>NT_D!K48</f>
        <v>1392218</v>
      </c>
      <c r="K384" s="76">
        <f>NT_D!L48</f>
        <v>3187448</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58380.659999999996</v>
      </c>
      <c r="I386" s="27">
        <f t="shared" si="25"/>
        <v>0</v>
      </c>
      <c r="J386" s="75">
        <f>NT_D!K50</f>
        <v>10158</v>
      </c>
      <c r="K386" s="76">
        <f>NT_D!L50</f>
        <v>69768</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4593688</v>
      </c>
      <c r="I387" s="27">
        <f t="shared" si="25"/>
        <v>0</v>
      </c>
      <c r="J387" s="75">
        <f>NT_D!K51</f>
        <v>0</v>
      </c>
      <c r="K387" s="76">
        <f>NT_D!L51</f>
        <v>5742110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3567070.52</v>
      </c>
      <c r="I388" s="27">
        <f t="shared" si="25"/>
        <v>0</v>
      </c>
      <c r="J388" s="75">
        <f>NT_D!K52</f>
        <v>8700172</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30147511.380000003</v>
      </c>
      <c r="I389" s="27">
        <f t="shared" si="25"/>
        <v>0</v>
      </c>
      <c r="J389" s="75">
        <f>NT_D!K53</f>
        <v>29726711</v>
      </c>
      <c r="K389" s="76">
        <f>NT_D!L53</f>
        <v>21026539</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t="str">
        <f>IF(NT_D!J54&lt;&gt;"",NT_D!J54,"")</f>
        <v>6./iv/</v>
      </c>
      <c r="H390" s="224">
        <f t="shared" si="24"/>
        <v>4938214.6</v>
      </c>
      <c r="I390" s="27">
        <f t="shared" si="25"/>
        <v>0</v>
      </c>
      <c r="J390" s="75">
        <f>NT_D!K54</f>
        <v>0</v>
      </c>
      <c r="K390" s="76">
        <f>NT_D!L54</f>
        <v>5742110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3828075.68</v>
      </c>
      <c r="I391" s="27">
        <f t="shared" si="25"/>
        <v>0</v>
      </c>
      <c r="J391" s="75">
        <f>NT_D!K55</f>
        <v>8700172</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33553726.65</v>
      </c>
      <c r="I392" s="30">
        <f t="shared" si="25"/>
        <v>0</v>
      </c>
      <c r="J392" s="229">
        <f>NT_D!K56</f>
        <v>21026539</v>
      </c>
      <c r="K392" s="230">
        <f>NT_D!L56</f>
        <v>26768649</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03322661; KD ČISTOĆA d.o.o. RIJEKA</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1" activePane="bottomLeft" state="frozen"/>
      <selection pane="topLeft" activeCell="A1" sqref="A1"/>
      <selection pane="bottomLeft" activeCell="C45" sqref="C45:J45"/>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3, a upisana veličina je 3</v>
      </c>
      <c r="D55" s="630"/>
      <c r="E55" s="630"/>
      <c r="F55" s="630"/>
      <c r="G55" s="630"/>
      <c r="H55" s="630"/>
      <c r="I55" s="630"/>
      <c r="J55" s="630"/>
      <c r="L55" s="35">
        <f>IF(Opci!C47=M55,0,1)</f>
        <v>0</v>
      </c>
      <c r="M55" s="131">
        <f>1+N55+O55</f>
        <v>3</v>
      </c>
      <c r="N55" s="132">
        <f>IF(Q55+R55+S55&gt;1,1,0)</f>
        <v>1</v>
      </c>
      <c r="O55" s="133">
        <f>IF(U55+V55+W55&gt;1,1,0)</f>
        <v>1</v>
      </c>
      <c r="P55" s="37" t="s">
        <v>1829</v>
      </c>
      <c r="Q55" s="38">
        <f>IF(Bilanca!K69&gt;32500000,1,0)</f>
        <v>1</v>
      </c>
      <c r="R55" s="38">
        <f>IF(RDG!K44&gt;65000000,1,0)</f>
        <v>1</v>
      </c>
      <c r="S55" s="39">
        <f>IF(Opci!C53&gt;50,1,0)</f>
        <v>1</v>
      </c>
      <c r="T55" s="40" t="s">
        <v>1830</v>
      </c>
      <c r="U55" s="41">
        <f>IF(Bilanca!K69&gt;130000000,1,0)</f>
        <v>1</v>
      </c>
      <c r="V55" s="41">
        <f>IF(RDG!K44&gt;260000000,1,0)</f>
        <v>0</v>
      </c>
      <c r="W55" s="42">
        <f>IF(Opci!C53&gt;250,1,0)</f>
        <v>1</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CISTOCA.RIJEKA@CISTOCA-RI.HR</v>
      </c>
      <c r="N59" s="201" t="str">
        <f>UPPER(TRIM(Opci!C69))</f>
        <v>CISTOCA.RIJEKA@CISTOCA-RI.HR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C:\Documents and Settings\Administrator\My Documents\GODIŠNJI OBRAČUNI\IRIS kraj 2014\[GFI-POD 2014 JAVNA OBJAVA.XLS]Opci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1.839080459770115</v>
      </c>
      <c r="P92">
        <f>IF(Opci!E53+Opci!E55&gt;20,ABS(Opci!E53-Opci!E55)/(Opci!E53+Opci!E55)*200,0)</f>
        <v>0.6936416184971098</v>
      </c>
      <c r="Q92">
        <f>IF(Opci!C53+Opci!E53&gt;20,ABS(Opci!C53-Opci!E53)/(Opci!C53+Opci!E53)*200,0)</f>
        <v>1.145475372279496</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KD ČISTOĆA d.o.o. RIJEKA</v>
      </c>
      <c r="B21" s="250"/>
      <c r="C21" s="250"/>
      <c r="D21" s="250"/>
      <c r="E21" s="250"/>
      <c r="F21" s="250"/>
      <c r="G21" s="250"/>
      <c r="H21" s="251"/>
      <c r="I21" s="252"/>
      <c r="J21" s="253"/>
    </row>
    <row r="22" spans="1:10" ht="13.5" customHeight="1">
      <c r="A22" s="255" t="str">
        <f>IF(Opci!C29&lt;&gt;"",MID(Opci!C29,1,30),"")</f>
        <v>Dolac 14</v>
      </c>
      <c r="B22" s="249"/>
      <c r="C22" s="249"/>
      <c r="D22" s="249"/>
      <c r="E22" s="249"/>
      <c r="F22" s="249"/>
      <c r="G22" s="249"/>
      <c r="H22" s="80"/>
      <c r="I22" s="247"/>
      <c r="J22" s="246"/>
    </row>
    <row r="23" spans="1:10" ht="13.5" customHeight="1">
      <c r="A23" s="255" t="str">
        <f>IF(AND(Opci!C27&lt;&gt;"",Opci!F27&lt;&gt;""),MID(Opci!C27&amp;" "&amp;Opci!F27,1,30),"")</f>
        <v>51000 RIJEKA</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0 6 5 3 1 9 0 1 7 1 4</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42"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6" activePane="bottomLeft" state="frozen"/>
      <selection pane="topLeft" activeCell="A1" sqref="A1"/>
      <selection pane="bottomLeft" activeCell="H47" sqref="H4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332266.1</v>
      </c>
      <c r="T2" s="192">
        <f>INT(VALUE(C21))/50</f>
        <v>800266.08</v>
      </c>
      <c r="U2" s="192">
        <f>INT(VALUE(C23))/100</f>
        <v>65319017.14</v>
      </c>
      <c r="V2" s="192">
        <f>LEN(Skriveni!B9)</f>
        <v>24</v>
      </c>
      <c r="W2" s="192">
        <f>INT(VALUE(C27))/100</f>
        <v>510</v>
      </c>
      <c r="X2" s="192">
        <f>LEN(Skriveni!B11)</f>
        <v>6</v>
      </c>
      <c r="Y2" s="192">
        <f>LEN(Skriveni!B12)</f>
        <v>8</v>
      </c>
      <c r="Z2" s="192">
        <f>INT(VALUE(C35))</f>
        <v>373</v>
      </c>
      <c r="AA2" s="192">
        <f>INT(VALUE(C39))</f>
        <v>3811</v>
      </c>
      <c r="AB2" s="192">
        <f>IF(C41="DA",1,0)</f>
        <v>0</v>
      </c>
      <c r="AC2" s="192">
        <f>IF(C43="DA",1,0)</f>
        <v>1</v>
      </c>
      <c r="AD2" s="192">
        <f>INT(VALUE(C45))</f>
        <v>2</v>
      </c>
      <c r="AE2" s="192">
        <f>INT(VALUE(C47))</f>
        <v>3</v>
      </c>
      <c r="AF2" s="192">
        <f>INT(VALUE(C49))</f>
        <v>11</v>
      </c>
      <c r="AG2" s="192">
        <f>C51*2+E51</f>
        <v>200</v>
      </c>
      <c r="AH2" s="192">
        <f>C53+2*E53+3*C55+4*E55</f>
        <v>4324</v>
      </c>
      <c r="AI2" s="192">
        <f>C57*2+E57</f>
        <v>36</v>
      </c>
      <c r="AJ2" s="192">
        <f>LEN(Skriveni!B43)</f>
        <v>14</v>
      </c>
      <c r="AK2" s="220">
        <f>INT(VALUE(E43))/100</f>
        <v>522110798.72</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5718015012.310001</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51000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373</v>
      </c>
      <c r="D35" s="417" t="str">
        <f>IF(C35&lt;&gt;"",LOOKUP(C35,P29:P584,Q29:Q584),"Nije upisana općina!")</f>
        <v>Rijeka</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8</v>
      </c>
      <c r="D37" s="417" t="str">
        <f>IF(C37&lt;&gt;"",LOOKUP(C37,T29:T49,U29:U49),"")</f>
        <v>PRIMORSKO-GORANSKA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2612</v>
      </c>
      <c r="D39" s="422" t="str">
        <f>IF(C39&lt;&gt;"",LOOKUP(C39,Djel!A5:A621,Djel!B5:B621),"Djelatnost nije upisana!")</f>
        <v>Skupljanje neopasnog otpada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2985</v>
      </c>
      <c r="D43" s="217" t="s">
        <v>2689</v>
      </c>
      <c r="E43" s="424" t="s">
        <v>3028</v>
      </c>
      <c r="F43" s="425"/>
      <c r="G43" s="46"/>
      <c r="H43" s="124" t="s">
        <v>2985</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3</v>
      </c>
      <c r="D47" s="391" t="str">
        <f>IF(C47&lt;&gt;"",LOOKUP(C47,Sifre!A6:A8,Sifre!B6:B8),"Veličina nije upisana")</f>
        <v>Veliki poduzetnik</v>
      </c>
      <c r="E47" s="392"/>
      <c r="F47" s="392"/>
      <c r="G47" s="392"/>
      <c r="H47" s="124" t="s">
        <v>2985</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2985</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2985</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439</v>
      </c>
      <c r="D53" s="171"/>
      <c r="E53" s="190">
        <v>434</v>
      </c>
      <c r="F53" s="171"/>
      <c r="G53" s="97"/>
      <c r="H53" s="124" t="s">
        <v>2985</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431</v>
      </c>
      <c r="D55" s="171"/>
      <c r="E55" s="191">
        <v>431</v>
      </c>
      <c r="F55" s="171"/>
      <c r="G55" s="97"/>
      <c r="H55" s="124" t="s">
        <v>2985</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2985</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2983</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2979</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2984</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7" activePane="bottomLeft" state="frozen"/>
      <selection pane="topLeft" activeCell="A1" sqref="A1"/>
      <selection pane="bottomLeft" activeCell="L118" sqref="L11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06531901714; KD ČISTOĆA d.o.o. RIJEKA</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138716149</v>
      </c>
      <c r="L11" s="59">
        <f>L12+L19+L29+L38+L42</f>
        <v>142398489</v>
      </c>
    </row>
    <row r="12" spans="1:12" ht="13.5" customHeight="1">
      <c r="A12" s="483" t="s">
        <v>753</v>
      </c>
      <c r="B12" s="484"/>
      <c r="C12" s="484"/>
      <c r="D12" s="484"/>
      <c r="E12" s="484"/>
      <c r="F12" s="484"/>
      <c r="G12" s="484"/>
      <c r="H12" s="485"/>
      <c r="I12" s="4">
        <v>3</v>
      </c>
      <c r="J12" s="8" t="s">
        <v>2986</v>
      </c>
      <c r="K12" s="59">
        <f>SUM(K13:K18)</f>
        <v>6542861</v>
      </c>
      <c r="L12" s="59">
        <f>SUM(L13:L18)</f>
        <v>1510439</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118604</v>
      </c>
      <c r="L14" s="60">
        <v>53010</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v>6424257</v>
      </c>
      <c r="L18" s="60">
        <v>1457429</v>
      </c>
    </row>
    <row r="19" spans="1:12" ht="13.5" customHeight="1">
      <c r="A19" s="483" t="s">
        <v>754</v>
      </c>
      <c r="B19" s="484"/>
      <c r="C19" s="484"/>
      <c r="D19" s="484"/>
      <c r="E19" s="484"/>
      <c r="F19" s="484"/>
      <c r="G19" s="484"/>
      <c r="H19" s="485"/>
      <c r="I19" s="4">
        <v>10</v>
      </c>
      <c r="J19" s="8" t="s">
        <v>2986</v>
      </c>
      <c r="K19" s="59">
        <f>SUM(K20:K28)</f>
        <v>128919862</v>
      </c>
      <c r="L19" s="59">
        <f>SUM(L20:L28)</f>
        <v>129089073</v>
      </c>
    </row>
    <row r="20" spans="1:12" ht="13.5" customHeight="1">
      <c r="A20" s="477" t="s">
        <v>1436</v>
      </c>
      <c r="B20" s="478"/>
      <c r="C20" s="478"/>
      <c r="D20" s="478"/>
      <c r="E20" s="478"/>
      <c r="F20" s="478"/>
      <c r="G20" s="478"/>
      <c r="H20" s="479"/>
      <c r="I20" s="4">
        <v>11</v>
      </c>
      <c r="J20" s="8"/>
      <c r="K20" s="60">
        <v>35606918</v>
      </c>
      <c r="L20" s="60">
        <v>35606918</v>
      </c>
    </row>
    <row r="21" spans="1:12" ht="13.5" customHeight="1">
      <c r="A21" s="477" t="s">
        <v>186</v>
      </c>
      <c r="B21" s="478"/>
      <c r="C21" s="478"/>
      <c r="D21" s="478"/>
      <c r="E21" s="478"/>
      <c r="F21" s="478"/>
      <c r="G21" s="478"/>
      <c r="H21" s="479"/>
      <c r="I21" s="4">
        <v>12</v>
      </c>
      <c r="J21" s="8"/>
      <c r="K21" s="60">
        <v>18188400</v>
      </c>
      <c r="L21" s="60">
        <v>15767546</v>
      </c>
    </row>
    <row r="22" spans="1:12" ht="13.5" customHeight="1">
      <c r="A22" s="477" t="s">
        <v>1437</v>
      </c>
      <c r="B22" s="478"/>
      <c r="C22" s="478"/>
      <c r="D22" s="478"/>
      <c r="E22" s="478"/>
      <c r="F22" s="478"/>
      <c r="G22" s="478"/>
      <c r="H22" s="479"/>
      <c r="I22" s="4">
        <v>13</v>
      </c>
      <c r="J22" s="8"/>
      <c r="K22" s="60">
        <v>1031879</v>
      </c>
      <c r="L22" s="60">
        <v>493398</v>
      </c>
    </row>
    <row r="23" spans="1:12" ht="13.5" customHeight="1">
      <c r="A23" s="477" t="s">
        <v>1273</v>
      </c>
      <c r="B23" s="478"/>
      <c r="C23" s="478"/>
      <c r="D23" s="478"/>
      <c r="E23" s="478"/>
      <c r="F23" s="478"/>
      <c r="G23" s="478"/>
      <c r="H23" s="479"/>
      <c r="I23" s="4">
        <v>14</v>
      </c>
      <c r="J23" s="8"/>
      <c r="K23" s="60">
        <v>3674879</v>
      </c>
      <c r="L23" s="60">
        <v>4144348</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70417786</v>
      </c>
      <c r="L26" s="60">
        <v>73076863</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t="s">
        <v>2987</v>
      </c>
      <c r="K29" s="59">
        <f>SUM(K30:K37)</f>
        <v>1176254</v>
      </c>
      <c r="L29" s="59">
        <f>SUM(L30:L37)</f>
        <v>1253484</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v>1176254</v>
      </c>
      <c r="L32" s="60">
        <v>1253484</v>
      </c>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t="s">
        <v>2988</v>
      </c>
      <c r="K38" s="59">
        <f>SUM(K39:K41)</f>
        <v>1179881</v>
      </c>
      <c r="L38" s="59">
        <f>SUM(L39:L41)</f>
        <v>9945493</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v>1179881</v>
      </c>
      <c r="L41" s="60">
        <v>9945493</v>
      </c>
    </row>
    <row r="42" spans="1:12" ht="13.5" customHeight="1">
      <c r="A42" s="483" t="s">
        <v>1013</v>
      </c>
      <c r="B42" s="484"/>
      <c r="C42" s="484"/>
      <c r="D42" s="484"/>
      <c r="E42" s="484"/>
      <c r="F42" s="484"/>
      <c r="G42" s="484"/>
      <c r="H42" s="485"/>
      <c r="I42" s="4">
        <v>33</v>
      </c>
      <c r="J42" s="8" t="s">
        <v>2989</v>
      </c>
      <c r="K42" s="60">
        <v>897291</v>
      </c>
      <c r="L42" s="60">
        <v>600000</v>
      </c>
    </row>
    <row r="43" spans="1:12" ht="13.5" customHeight="1">
      <c r="A43" s="499" t="s">
        <v>2297</v>
      </c>
      <c r="B43" s="500"/>
      <c r="C43" s="500"/>
      <c r="D43" s="500"/>
      <c r="E43" s="500"/>
      <c r="F43" s="500"/>
      <c r="G43" s="500"/>
      <c r="H43" s="501"/>
      <c r="I43" s="4">
        <v>34</v>
      </c>
      <c r="J43" s="8"/>
      <c r="K43" s="59">
        <f>K44+K52+K59+K67</f>
        <v>56426983</v>
      </c>
      <c r="L43" s="59">
        <f>L44+L52+L59+L67</f>
        <v>62171955</v>
      </c>
    </row>
    <row r="44" spans="1:12" ht="13.5" customHeight="1">
      <c r="A44" s="483" t="s">
        <v>319</v>
      </c>
      <c r="B44" s="484"/>
      <c r="C44" s="484"/>
      <c r="D44" s="484"/>
      <c r="E44" s="484"/>
      <c r="F44" s="484"/>
      <c r="G44" s="484"/>
      <c r="H44" s="485"/>
      <c r="I44" s="4">
        <v>35</v>
      </c>
      <c r="J44" s="8" t="s">
        <v>2990</v>
      </c>
      <c r="K44" s="59">
        <f>SUM(K45:K51)</f>
        <v>809563</v>
      </c>
      <c r="L44" s="59">
        <f>SUM(L45:L51)</f>
        <v>674635</v>
      </c>
    </row>
    <row r="45" spans="1:12" ht="13.5" customHeight="1">
      <c r="A45" s="477" t="s">
        <v>1485</v>
      </c>
      <c r="B45" s="478"/>
      <c r="C45" s="478"/>
      <c r="D45" s="478"/>
      <c r="E45" s="478"/>
      <c r="F45" s="478"/>
      <c r="G45" s="478"/>
      <c r="H45" s="479"/>
      <c r="I45" s="4">
        <v>36</v>
      </c>
      <c r="J45" s="8"/>
      <c r="K45" s="60">
        <v>809563</v>
      </c>
      <c r="L45" s="60">
        <v>674635</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t="s">
        <v>2991</v>
      </c>
      <c r="K52" s="59">
        <f>SUM(K53:K58)</f>
        <v>33940881</v>
      </c>
      <c r="L52" s="59">
        <f>SUM(L53:L58)</f>
        <v>34078671</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t="s">
        <v>2992</v>
      </c>
      <c r="K54" s="60">
        <v>26437957</v>
      </c>
      <c r="L54" s="60">
        <v>30033433</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t="s">
        <v>2991</v>
      </c>
      <c r="K56" s="60">
        <v>100</v>
      </c>
      <c r="L56" s="60">
        <v>3954</v>
      </c>
    </row>
    <row r="57" spans="1:12" ht="13.5" customHeight="1">
      <c r="A57" s="477" t="s">
        <v>663</v>
      </c>
      <c r="B57" s="478"/>
      <c r="C57" s="478"/>
      <c r="D57" s="478"/>
      <c r="E57" s="478"/>
      <c r="F57" s="478"/>
      <c r="G57" s="478"/>
      <c r="H57" s="479"/>
      <c r="I57" s="4">
        <v>48</v>
      </c>
      <c r="J57" s="8" t="s">
        <v>2993</v>
      </c>
      <c r="K57" s="60">
        <v>229412</v>
      </c>
      <c r="L57" s="60">
        <v>995186</v>
      </c>
    </row>
    <row r="58" spans="1:12" ht="13.5" customHeight="1">
      <c r="A58" s="477" t="s">
        <v>664</v>
      </c>
      <c r="B58" s="478"/>
      <c r="C58" s="478"/>
      <c r="D58" s="478"/>
      <c r="E58" s="478"/>
      <c r="F58" s="478"/>
      <c r="G58" s="478"/>
      <c r="H58" s="479"/>
      <c r="I58" s="4">
        <v>49</v>
      </c>
      <c r="J58" s="8" t="s">
        <v>2994</v>
      </c>
      <c r="K58" s="60">
        <v>7273412</v>
      </c>
      <c r="L58" s="60">
        <v>3046098</v>
      </c>
    </row>
    <row r="59" spans="1:12" ht="13.5" customHeight="1">
      <c r="A59" s="483" t="s">
        <v>321</v>
      </c>
      <c r="B59" s="484"/>
      <c r="C59" s="484"/>
      <c r="D59" s="484"/>
      <c r="E59" s="484"/>
      <c r="F59" s="484"/>
      <c r="G59" s="484"/>
      <c r="H59" s="485"/>
      <c r="I59" s="4">
        <v>50</v>
      </c>
      <c r="J59" s="8" t="s">
        <v>2995</v>
      </c>
      <c r="K59" s="59">
        <f>SUM(K60:K66)</f>
        <v>13683324</v>
      </c>
      <c r="L59" s="59">
        <f>SUM(L60:L66)</f>
        <v>10887209</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v>13683324</v>
      </c>
      <c r="L65" s="60">
        <v>10887209</v>
      </c>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t="s">
        <v>2996</v>
      </c>
      <c r="K67" s="60">
        <v>7993215</v>
      </c>
      <c r="L67" s="60">
        <v>16531440</v>
      </c>
    </row>
    <row r="68" spans="1:12" ht="13.5" customHeight="1">
      <c r="A68" s="499" t="s">
        <v>2848</v>
      </c>
      <c r="B68" s="500"/>
      <c r="C68" s="500"/>
      <c r="D68" s="500"/>
      <c r="E68" s="500"/>
      <c r="F68" s="500"/>
      <c r="G68" s="500"/>
      <c r="H68" s="501"/>
      <c r="I68" s="4">
        <v>59</v>
      </c>
      <c r="J68" s="8"/>
      <c r="K68" s="60"/>
      <c r="L68" s="60"/>
    </row>
    <row r="69" spans="1:12" ht="13.5" customHeight="1">
      <c r="A69" s="499" t="s">
        <v>2298</v>
      </c>
      <c r="B69" s="500"/>
      <c r="C69" s="500"/>
      <c r="D69" s="500"/>
      <c r="E69" s="500"/>
      <c r="F69" s="500"/>
      <c r="G69" s="500"/>
      <c r="H69" s="501"/>
      <c r="I69" s="4">
        <v>60</v>
      </c>
      <c r="J69" s="8"/>
      <c r="K69" s="59">
        <f>K10+K11+K43+K68</f>
        <v>195143132</v>
      </c>
      <c r="L69" s="59">
        <f>L10+L11+L43+L68</f>
        <v>204570444</v>
      </c>
    </row>
    <row r="70" spans="1:12" ht="13.5" customHeight="1">
      <c r="A70" s="519" t="s">
        <v>309</v>
      </c>
      <c r="B70" s="520"/>
      <c r="C70" s="520"/>
      <c r="D70" s="520"/>
      <c r="E70" s="520"/>
      <c r="F70" s="520"/>
      <c r="G70" s="520"/>
      <c r="H70" s="521"/>
      <c r="I70" s="5">
        <v>61</v>
      </c>
      <c r="J70" s="9" t="s">
        <v>2997</v>
      </c>
      <c r="K70" s="61">
        <v>61307568</v>
      </c>
      <c r="L70" s="61">
        <v>42677650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t="s">
        <v>2998</v>
      </c>
      <c r="K72" s="79">
        <f>K73+K74+K75+K81+K82+K85+K88</f>
        <v>74337165</v>
      </c>
      <c r="L72" s="79">
        <f>L73+L74+L75+L81+L82+L85+L88</f>
        <v>68317759</v>
      </c>
    </row>
    <row r="73" spans="1:12" ht="13.5" customHeight="1">
      <c r="A73" s="483" t="s">
        <v>2741</v>
      </c>
      <c r="B73" s="484"/>
      <c r="C73" s="484"/>
      <c r="D73" s="484"/>
      <c r="E73" s="484"/>
      <c r="F73" s="484"/>
      <c r="G73" s="484"/>
      <c r="H73" s="485"/>
      <c r="I73" s="4">
        <v>63</v>
      </c>
      <c r="J73" s="8"/>
      <c r="K73" s="60">
        <v>23031000</v>
      </c>
      <c r="L73" s="60">
        <v>23031000</v>
      </c>
    </row>
    <row r="74" spans="1:12" ht="13.5" customHeight="1">
      <c r="A74" s="483" t="s">
        <v>2742</v>
      </c>
      <c r="B74" s="484"/>
      <c r="C74" s="484"/>
      <c r="D74" s="484"/>
      <c r="E74" s="484"/>
      <c r="F74" s="484"/>
      <c r="G74" s="484"/>
      <c r="H74" s="485"/>
      <c r="I74" s="4">
        <v>64</v>
      </c>
      <c r="J74" s="8"/>
      <c r="K74" s="60">
        <v>40140617</v>
      </c>
      <c r="L74" s="60">
        <v>33923405</v>
      </c>
    </row>
    <row r="75" spans="1:12" ht="13.5" customHeight="1">
      <c r="A75" s="483" t="s">
        <v>2743</v>
      </c>
      <c r="B75" s="484"/>
      <c r="C75" s="484"/>
      <c r="D75" s="484"/>
      <c r="E75" s="484"/>
      <c r="F75" s="484"/>
      <c r="G75" s="484"/>
      <c r="H75" s="485"/>
      <c r="I75" s="4">
        <v>65</v>
      </c>
      <c r="J75" s="8"/>
      <c r="K75" s="59">
        <f>K76+K77-K78+K79+K80</f>
        <v>161464</v>
      </c>
      <c r="L75" s="59">
        <f>L76+L77-L78+L79+L80</f>
        <v>161464</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161464</v>
      </c>
      <c r="L80" s="60">
        <v>161464</v>
      </c>
    </row>
    <row r="81" spans="1:12" ht="13.5" customHeight="1">
      <c r="A81" s="483" t="s">
        <v>1542</v>
      </c>
      <c r="B81" s="484"/>
      <c r="C81" s="484"/>
      <c r="D81" s="484"/>
      <c r="E81" s="484"/>
      <c r="F81" s="484"/>
      <c r="G81" s="484"/>
      <c r="H81" s="485"/>
      <c r="I81" s="4">
        <v>71</v>
      </c>
      <c r="J81" s="8"/>
      <c r="K81" s="60">
        <v>154607</v>
      </c>
      <c r="L81" s="60">
        <v>154607</v>
      </c>
    </row>
    <row r="82" spans="1:12" ht="13.5" customHeight="1">
      <c r="A82" s="483" t="s">
        <v>2295</v>
      </c>
      <c r="B82" s="484"/>
      <c r="C82" s="484"/>
      <c r="D82" s="484"/>
      <c r="E82" s="484"/>
      <c r="F82" s="484"/>
      <c r="G82" s="484"/>
      <c r="H82" s="485"/>
      <c r="I82" s="4">
        <v>72</v>
      </c>
      <c r="J82" s="8"/>
      <c r="K82" s="59">
        <f>K83-K84</f>
        <v>9162986</v>
      </c>
      <c r="L82" s="59">
        <f>L83-L84</f>
        <v>10849477</v>
      </c>
    </row>
    <row r="83" spans="1:12" ht="13.5" customHeight="1">
      <c r="A83" s="486" t="s">
        <v>2824</v>
      </c>
      <c r="B83" s="487"/>
      <c r="C83" s="487"/>
      <c r="D83" s="487"/>
      <c r="E83" s="487"/>
      <c r="F83" s="487"/>
      <c r="G83" s="487"/>
      <c r="H83" s="488"/>
      <c r="I83" s="4">
        <v>73</v>
      </c>
      <c r="J83" s="8"/>
      <c r="K83" s="60">
        <v>9162986</v>
      </c>
      <c r="L83" s="60">
        <v>10849477</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1686491</v>
      </c>
      <c r="L85" s="59">
        <f>L86-L87</f>
        <v>197806</v>
      </c>
    </row>
    <row r="86" spans="1:12" ht="13.5" customHeight="1">
      <c r="A86" s="486" t="s">
        <v>2826</v>
      </c>
      <c r="B86" s="487"/>
      <c r="C86" s="487"/>
      <c r="D86" s="487"/>
      <c r="E86" s="487"/>
      <c r="F86" s="487"/>
      <c r="G86" s="487"/>
      <c r="H86" s="488"/>
      <c r="I86" s="4">
        <v>76</v>
      </c>
      <c r="J86" s="8"/>
      <c r="K86" s="60">
        <v>1686491</v>
      </c>
      <c r="L86" s="60">
        <v>197806</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t="s">
        <v>2999</v>
      </c>
      <c r="K89" s="59">
        <f>SUM(K90:K92)</f>
        <v>7268517</v>
      </c>
      <c r="L89" s="59">
        <f>SUM(L90:L92)</f>
        <v>5047697</v>
      </c>
    </row>
    <row r="90" spans="1:12" ht="13.5" customHeight="1">
      <c r="A90" s="477" t="s">
        <v>2699</v>
      </c>
      <c r="B90" s="478"/>
      <c r="C90" s="478"/>
      <c r="D90" s="478"/>
      <c r="E90" s="478"/>
      <c r="F90" s="478"/>
      <c r="G90" s="478"/>
      <c r="H90" s="479"/>
      <c r="I90" s="4">
        <v>80</v>
      </c>
      <c r="J90" s="8"/>
      <c r="K90" s="60">
        <v>1639119</v>
      </c>
      <c r="L90" s="60">
        <v>1574298</v>
      </c>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v>5629398</v>
      </c>
      <c r="L92" s="60">
        <v>3473399</v>
      </c>
    </row>
    <row r="93" spans="1:12" ht="13.5" customHeight="1">
      <c r="A93" s="499" t="s">
        <v>1266</v>
      </c>
      <c r="B93" s="500"/>
      <c r="C93" s="500"/>
      <c r="D93" s="500"/>
      <c r="E93" s="500"/>
      <c r="F93" s="500"/>
      <c r="G93" s="500"/>
      <c r="H93" s="501"/>
      <c r="I93" s="4">
        <v>83</v>
      </c>
      <c r="J93" s="8" t="s">
        <v>3000</v>
      </c>
      <c r="K93" s="59">
        <f>SUM(K94:K102)</f>
        <v>15945300</v>
      </c>
      <c r="L93" s="59">
        <f>SUM(L94:L102)</f>
        <v>10674669</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t="s">
        <v>3001</v>
      </c>
      <c r="K96" s="60">
        <v>10448858</v>
      </c>
      <c r="L96" s="60">
        <v>9199753</v>
      </c>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t="s">
        <v>3001</v>
      </c>
      <c r="K98" s="60">
        <v>5496442</v>
      </c>
      <c r="L98" s="60">
        <v>1474916</v>
      </c>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t="s">
        <v>3002</v>
      </c>
      <c r="K103" s="59">
        <f>SUM(K104:K115)</f>
        <v>20192267</v>
      </c>
      <c r="L103" s="59">
        <f>SUM(L104:L115)</f>
        <v>29667826</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t="s">
        <v>3003</v>
      </c>
      <c r="K106" s="60">
        <v>246083</v>
      </c>
      <c r="L106" s="60">
        <v>2260510</v>
      </c>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t="s">
        <v>3004</v>
      </c>
      <c r="K108" s="60">
        <v>8290752</v>
      </c>
      <c r="L108" s="60">
        <v>4510062</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t="s">
        <v>3005</v>
      </c>
      <c r="K111" s="60">
        <v>2354247</v>
      </c>
      <c r="L111" s="60">
        <v>2415657</v>
      </c>
    </row>
    <row r="112" spans="1:12" ht="13.5" customHeight="1">
      <c r="A112" s="477" t="s">
        <v>314</v>
      </c>
      <c r="B112" s="478"/>
      <c r="C112" s="478"/>
      <c r="D112" s="478"/>
      <c r="E112" s="478"/>
      <c r="F112" s="478"/>
      <c r="G112" s="478"/>
      <c r="H112" s="479"/>
      <c r="I112" s="4">
        <v>102</v>
      </c>
      <c r="J112" s="8" t="s">
        <v>3006</v>
      </c>
      <c r="K112" s="60">
        <v>2679171</v>
      </c>
      <c r="L112" s="60">
        <v>2327865</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t="s">
        <v>3007</v>
      </c>
      <c r="K115" s="60">
        <v>6622014</v>
      </c>
      <c r="L115" s="60">
        <v>18153732</v>
      </c>
    </row>
    <row r="116" spans="1:12" ht="13.5" customHeight="1">
      <c r="A116" s="499" t="s">
        <v>1525</v>
      </c>
      <c r="B116" s="500"/>
      <c r="C116" s="500"/>
      <c r="D116" s="500"/>
      <c r="E116" s="500"/>
      <c r="F116" s="500"/>
      <c r="G116" s="500"/>
      <c r="H116" s="501"/>
      <c r="I116" s="4">
        <v>106</v>
      </c>
      <c r="J116" s="8" t="s">
        <v>3008</v>
      </c>
      <c r="K116" s="60">
        <v>77399883</v>
      </c>
      <c r="L116" s="60">
        <v>90862493</v>
      </c>
    </row>
    <row r="117" spans="1:12" ht="13.5" customHeight="1">
      <c r="A117" s="499" t="s">
        <v>1271</v>
      </c>
      <c r="B117" s="500"/>
      <c r="C117" s="500"/>
      <c r="D117" s="500"/>
      <c r="E117" s="500"/>
      <c r="F117" s="500"/>
      <c r="G117" s="500"/>
      <c r="H117" s="501"/>
      <c r="I117" s="4">
        <v>107</v>
      </c>
      <c r="J117" s="8"/>
      <c r="K117" s="59">
        <f>K72+K89+K93+K103+K116</f>
        <v>195143132</v>
      </c>
      <c r="L117" s="59">
        <f>L72+L89+L93+L103+L116</f>
        <v>204570444</v>
      </c>
    </row>
    <row r="118" spans="1:12" ht="13.5" customHeight="1">
      <c r="A118" s="502" t="s">
        <v>2849</v>
      </c>
      <c r="B118" s="503"/>
      <c r="C118" s="503"/>
      <c r="D118" s="503"/>
      <c r="E118" s="503"/>
      <c r="F118" s="503"/>
      <c r="G118" s="503"/>
      <c r="H118" s="504"/>
      <c r="I118" s="5">
        <v>108</v>
      </c>
      <c r="J118" s="8"/>
      <c r="K118" s="61">
        <v>61307568</v>
      </c>
      <c r="L118" s="61">
        <v>42677650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6" activePane="bottomLeft" state="frozen"/>
      <selection pane="topLeft" activeCell="A1" sqref="A1"/>
      <selection pane="bottomLeft" activeCell="A70" sqref="A70:L7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06531901714; KD ČISTOĆA d.o.o. RIJEKA</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1</v>
      </c>
      <c r="R8" s="207" t="s">
        <v>2817</v>
      </c>
    </row>
    <row r="9" spans="1:12" s="3" customFormat="1" ht="13.5" customHeight="1">
      <c r="A9" s="480" t="s">
        <v>1272</v>
      </c>
      <c r="B9" s="481"/>
      <c r="C9" s="481"/>
      <c r="D9" s="481"/>
      <c r="E9" s="481"/>
      <c r="F9" s="481"/>
      <c r="G9" s="481"/>
      <c r="H9" s="482"/>
      <c r="I9" s="6">
        <v>111</v>
      </c>
      <c r="J9" s="7" t="s">
        <v>3009</v>
      </c>
      <c r="K9" s="79">
        <f>SUM(K10:K11)</f>
        <v>97280750</v>
      </c>
      <c r="L9" s="79">
        <f>SUM(L10:L11)</f>
        <v>94172041</v>
      </c>
    </row>
    <row r="10" spans="1:12" s="3" customFormat="1" ht="13.5" customHeight="1">
      <c r="A10" s="499" t="s">
        <v>1722</v>
      </c>
      <c r="B10" s="500"/>
      <c r="C10" s="500"/>
      <c r="D10" s="500"/>
      <c r="E10" s="500"/>
      <c r="F10" s="500"/>
      <c r="G10" s="500"/>
      <c r="H10" s="501"/>
      <c r="I10" s="4">
        <v>112</v>
      </c>
      <c r="J10" s="8" t="s">
        <v>3010</v>
      </c>
      <c r="K10" s="60">
        <v>77087238</v>
      </c>
      <c r="L10" s="60">
        <v>74913483</v>
      </c>
    </row>
    <row r="11" spans="1:12" s="3" customFormat="1" ht="13.5" customHeight="1">
      <c r="A11" s="499" t="s">
        <v>322</v>
      </c>
      <c r="B11" s="500"/>
      <c r="C11" s="500"/>
      <c r="D11" s="500"/>
      <c r="E11" s="500"/>
      <c r="F11" s="500"/>
      <c r="G11" s="500"/>
      <c r="H11" s="501"/>
      <c r="I11" s="4">
        <v>113</v>
      </c>
      <c r="J11" s="8" t="s">
        <v>3011</v>
      </c>
      <c r="K11" s="60">
        <v>20193512</v>
      </c>
      <c r="L11" s="60">
        <v>19258558</v>
      </c>
    </row>
    <row r="12" spans="1:12" s="3" customFormat="1" ht="13.5" customHeight="1">
      <c r="A12" s="499" t="s">
        <v>669</v>
      </c>
      <c r="B12" s="500"/>
      <c r="C12" s="500"/>
      <c r="D12" s="500"/>
      <c r="E12" s="500"/>
      <c r="F12" s="500"/>
      <c r="G12" s="500"/>
      <c r="H12" s="501"/>
      <c r="I12" s="4">
        <v>114</v>
      </c>
      <c r="J12" s="8" t="s">
        <v>3012</v>
      </c>
      <c r="K12" s="59">
        <f>K13+K14+K18+K22+K23+K24+K27+K28</f>
        <v>95083055</v>
      </c>
      <c r="L12" s="59">
        <f>L13+L14+L18+L22+L23+L24+L27+L28</f>
        <v>93664779</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t="s">
        <v>3013</v>
      </c>
      <c r="K14" s="59">
        <f>SUM(K15:K17)</f>
        <v>22637936</v>
      </c>
      <c r="L14" s="59">
        <f>SUM(L15:L17)</f>
        <v>20490881</v>
      </c>
    </row>
    <row r="15" spans="1:12" s="3" customFormat="1" ht="13.5" customHeight="1">
      <c r="A15" s="477" t="s">
        <v>2463</v>
      </c>
      <c r="B15" s="478"/>
      <c r="C15" s="478"/>
      <c r="D15" s="478"/>
      <c r="E15" s="478"/>
      <c r="F15" s="478"/>
      <c r="G15" s="478"/>
      <c r="H15" s="479"/>
      <c r="I15" s="4">
        <v>117</v>
      </c>
      <c r="J15" s="8"/>
      <c r="K15" s="60">
        <v>12904757</v>
      </c>
      <c r="L15" s="60">
        <v>11227229</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9733179</v>
      </c>
      <c r="L17" s="60">
        <v>9263652</v>
      </c>
    </row>
    <row r="18" spans="1:12" s="3" customFormat="1" ht="13.5" customHeight="1">
      <c r="A18" s="499" t="s">
        <v>1269</v>
      </c>
      <c r="B18" s="500"/>
      <c r="C18" s="500"/>
      <c r="D18" s="500"/>
      <c r="E18" s="500"/>
      <c r="F18" s="500"/>
      <c r="G18" s="500"/>
      <c r="H18" s="501"/>
      <c r="I18" s="4">
        <v>120</v>
      </c>
      <c r="J18" s="8" t="s">
        <v>3014</v>
      </c>
      <c r="K18" s="59">
        <f>SUM(K19:K21)</f>
        <v>42808552</v>
      </c>
      <c r="L18" s="59">
        <f>SUM(L19:L21)</f>
        <v>44462985</v>
      </c>
    </row>
    <row r="19" spans="1:12" s="3" customFormat="1" ht="13.5" customHeight="1">
      <c r="A19" s="477" t="s">
        <v>2664</v>
      </c>
      <c r="B19" s="478"/>
      <c r="C19" s="478"/>
      <c r="D19" s="478"/>
      <c r="E19" s="478"/>
      <c r="F19" s="478"/>
      <c r="G19" s="478"/>
      <c r="H19" s="479"/>
      <c r="I19" s="4">
        <v>121</v>
      </c>
      <c r="J19" s="8"/>
      <c r="K19" s="60">
        <v>26856793</v>
      </c>
      <c r="L19" s="60">
        <v>27472813</v>
      </c>
    </row>
    <row r="20" spans="1:12" s="3" customFormat="1" ht="13.5" customHeight="1">
      <c r="A20" s="477" t="s">
        <v>2665</v>
      </c>
      <c r="B20" s="478"/>
      <c r="C20" s="478"/>
      <c r="D20" s="478"/>
      <c r="E20" s="478"/>
      <c r="F20" s="478"/>
      <c r="G20" s="478"/>
      <c r="H20" s="479"/>
      <c r="I20" s="4">
        <v>122</v>
      </c>
      <c r="J20" s="8"/>
      <c r="K20" s="60">
        <v>9952661</v>
      </c>
      <c r="L20" s="60">
        <v>10283984</v>
      </c>
    </row>
    <row r="21" spans="1:12" s="3" customFormat="1" ht="13.5" customHeight="1">
      <c r="A21" s="477" t="s">
        <v>2666</v>
      </c>
      <c r="B21" s="478"/>
      <c r="C21" s="478"/>
      <c r="D21" s="478"/>
      <c r="E21" s="478"/>
      <c r="F21" s="478"/>
      <c r="G21" s="478"/>
      <c r="H21" s="479"/>
      <c r="I21" s="4">
        <v>123</v>
      </c>
      <c r="J21" s="8"/>
      <c r="K21" s="60">
        <v>5999098</v>
      </c>
      <c r="L21" s="60">
        <v>6706188</v>
      </c>
    </row>
    <row r="22" spans="1:12" s="3" customFormat="1" ht="13.5" customHeight="1">
      <c r="A22" s="499" t="s">
        <v>324</v>
      </c>
      <c r="B22" s="500"/>
      <c r="C22" s="500"/>
      <c r="D22" s="500"/>
      <c r="E22" s="500"/>
      <c r="F22" s="500"/>
      <c r="G22" s="500"/>
      <c r="H22" s="501"/>
      <c r="I22" s="4">
        <v>124</v>
      </c>
      <c r="J22" s="8" t="s">
        <v>3015</v>
      </c>
      <c r="K22" s="60">
        <v>13889442</v>
      </c>
      <c r="L22" s="60">
        <v>10069449</v>
      </c>
    </row>
    <row r="23" spans="1:12" s="3" customFormat="1" ht="13.5" customHeight="1">
      <c r="A23" s="499" t="s">
        <v>325</v>
      </c>
      <c r="B23" s="500"/>
      <c r="C23" s="500"/>
      <c r="D23" s="500"/>
      <c r="E23" s="500"/>
      <c r="F23" s="500"/>
      <c r="G23" s="500"/>
      <c r="H23" s="501"/>
      <c r="I23" s="4">
        <v>125</v>
      </c>
      <c r="J23" s="8" t="s">
        <v>3016</v>
      </c>
      <c r="K23" s="60">
        <v>5796519</v>
      </c>
      <c r="L23" s="60">
        <v>13194843</v>
      </c>
    </row>
    <row r="24" spans="1:12" s="3" customFormat="1" ht="13.5" customHeight="1">
      <c r="A24" s="499" t="s">
        <v>1270</v>
      </c>
      <c r="B24" s="500"/>
      <c r="C24" s="500"/>
      <c r="D24" s="500"/>
      <c r="E24" s="500"/>
      <c r="F24" s="500"/>
      <c r="G24" s="500"/>
      <c r="H24" s="501"/>
      <c r="I24" s="4">
        <v>126</v>
      </c>
      <c r="J24" s="8" t="s">
        <v>3017</v>
      </c>
      <c r="K24" s="59">
        <f>SUM(K25:K26)</f>
        <v>6405646</v>
      </c>
      <c r="L24" s="59">
        <f>SUM(L25:L26)</f>
        <v>2958869</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6405646</v>
      </c>
      <c r="L26" s="60">
        <v>2958869</v>
      </c>
    </row>
    <row r="27" spans="1:12" s="3" customFormat="1" ht="13.5" customHeight="1">
      <c r="A27" s="499" t="s">
        <v>326</v>
      </c>
      <c r="B27" s="500"/>
      <c r="C27" s="500"/>
      <c r="D27" s="500"/>
      <c r="E27" s="500"/>
      <c r="F27" s="500"/>
      <c r="G27" s="500"/>
      <c r="H27" s="501"/>
      <c r="I27" s="4">
        <v>129</v>
      </c>
      <c r="J27" s="8" t="s">
        <v>3018</v>
      </c>
      <c r="K27" s="60">
        <v>3388115</v>
      </c>
      <c r="L27" s="60">
        <v>1777897</v>
      </c>
    </row>
    <row r="28" spans="1:12" s="3" customFormat="1" ht="13.5" customHeight="1">
      <c r="A28" s="499" t="s">
        <v>1079</v>
      </c>
      <c r="B28" s="500"/>
      <c r="C28" s="500"/>
      <c r="D28" s="500"/>
      <c r="E28" s="500"/>
      <c r="F28" s="500"/>
      <c r="G28" s="500"/>
      <c r="H28" s="501"/>
      <c r="I28" s="4">
        <v>130</v>
      </c>
      <c r="J28" s="8" t="s">
        <v>3019</v>
      </c>
      <c r="K28" s="60">
        <v>156845</v>
      </c>
      <c r="L28" s="60">
        <v>709855</v>
      </c>
    </row>
    <row r="29" spans="1:12" s="3" customFormat="1" ht="13.5" customHeight="1">
      <c r="A29" s="499" t="s">
        <v>53</v>
      </c>
      <c r="B29" s="500"/>
      <c r="C29" s="500"/>
      <c r="D29" s="500"/>
      <c r="E29" s="500"/>
      <c r="F29" s="500"/>
      <c r="G29" s="500"/>
      <c r="H29" s="501"/>
      <c r="I29" s="4">
        <v>131</v>
      </c>
      <c r="J29" s="8" t="s">
        <v>3020</v>
      </c>
      <c r="K29" s="59">
        <f>SUM(K30:K34)</f>
        <v>949855</v>
      </c>
      <c r="L29" s="59">
        <f>SUM(L30:L34)</f>
        <v>975884</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943055</v>
      </c>
      <c r="L31" s="60">
        <v>901884</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v>6800</v>
      </c>
      <c r="L34" s="60">
        <v>74000</v>
      </c>
    </row>
    <row r="35" spans="1:12" s="3" customFormat="1" ht="13.5" customHeight="1">
      <c r="A35" s="499" t="s">
        <v>54</v>
      </c>
      <c r="B35" s="500"/>
      <c r="C35" s="500"/>
      <c r="D35" s="500"/>
      <c r="E35" s="500"/>
      <c r="F35" s="500"/>
      <c r="G35" s="500"/>
      <c r="H35" s="501"/>
      <c r="I35" s="4">
        <v>137</v>
      </c>
      <c r="J35" s="8" t="s">
        <v>3021</v>
      </c>
      <c r="K35" s="59">
        <f>SUM(K36:K39)</f>
        <v>599246</v>
      </c>
      <c r="L35" s="59">
        <f>SUM(L36:L39)</f>
        <v>824510</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129936</v>
      </c>
      <c r="L37" s="60">
        <v>88568</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v>469310</v>
      </c>
      <c r="L39" s="60">
        <v>735942</v>
      </c>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98230605</v>
      </c>
      <c r="L44" s="59">
        <f>L9+L29+L40+L42</f>
        <v>95147925</v>
      </c>
    </row>
    <row r="45" spans="1:12" s="3" customFormat="1" ht="13.5" customHeight="1">
      <c r="A45" s="499" t="s">
        <v>56</v>
      </c>
      <c r="B45" s="500"/>
      <c r="C45" s="500"/>
      <c r="D45" s="500"/>
      <c r="E45" s="500"/>
      <c r="F45" s="500"/>
      <c r="G45" s="500"/>
      <c r="H45" s="501"/>
      <c r="I45" s="4">
        <v>147</v>
      </c>
      <c r="J45" s="8"/>
      <c r="K45" s="59">
        <f>K12+K35+K41+K43</f>
        <v>95682301</v>
      </c>
      <c r="L45" s="59">
        <f>L12+L35+L41+L43</f>
        <v>94489289</v>
      </c>
    </row>
    <row r="46" spans="1:12" s="3" customFormat="1" ht="13.5" customHeight="1">
      <c r="A46" s="499" t="s">
        <v>1825</v>
      </c>
      <c r="B46" s="500"/>
      <c r="C46" s="500"/>
      <c r="D46" s="500"/>
      <c r="E46" s="500"/>
      <c r="F46" s="500"/>
      <c r="G46" s="500"/>
      <c r="H46" s="501"/>
      <c r="I46" s="4">
        <v>148</v>
      </c>
      <c r="J46" s="8" t="s">
        <v>3022</v>
      </c>
      <c r="K46" s="59">
        <f>K44-K45</f>
        <v>2548304</v>
      </c>
      <c r="L46" s="59">
        <f>L44-L45</f>
        <v>658636</v>
      </c>
    </row>
    <row r="47" spans="1:12" s="3" customFormat="1" ht="13.5" customHeight="1">
      <c r="A47" s="486" t="s">
        <v>58</v>
      </c>
      <c r="B47" s="487"/>
      <c r="C47" s="487"/>
      <c r="D47" s="487"/>
      <c r="E47" s="487"/>
      <c r="F47" s="487"/>
      <c r="G47" s="487"/>
      <c r="H47" s="488"/>
      <c r="I47" s="4">
        <v>149</v>
      </c>
      <c r="J47" s="8"/>
      <c r="K47" s="59">
        <f>IF(K44&gt;K45,K44-K45,0)</f>
        <v>2548304</v>
      </c>
      <c r="L47" s="59">
        <f>IF(L44&gt;L45,L44-L45,0)</f>
        <v>658636</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t="s">
        <v>3022</v>
      </c>
      <c r="K49" s="60">
        <v>861813</v>
      </c>
      <c r="L49" s="60">
        <v>460830</v>
      </c>
    </row>
    <row r="50" spans="1:12" s="3" customFormat="1" ht="13.5" customHeight="1">
      <c r="A50" s="499" t="s">
        <v>1826</v>
      </c>
      <c r="B50" s="500"/>
      <c r="C50" s="500"/>
      <c r="D50" s="500"/>
      <c r="E50" s="500"/>
      <c r="F50" s="500"/>
      <c r="G50" s="500"/>
      <c r="H50" s="501"/>
      <c r="I50" s="4">
        <v>152</v>
      </c>
      <c r="J50" s="8" t="s">
        <v>3022</v>
      </c>
      <c r="K50" s="59">
        <f>K46-K49</f>
        <v>1686491</v>
      </c>
      <c r="L50" s="59">
        <f>L46-L49</f>
        <v>197806</v>
      </c>
    </row>
    <row r="51" spans="1:12" s="3" customFormat="1" ht="13.5" customHeight="1">
      <c r="A51" s="486" t="s">
        <v>1021</v>
      </c>
      <c r="B51" s="487"/>
      <c r="C51" s="487"/>
      <c r="D51" s="487"/>
      <c r="E51" s="487"/>
      <c r="F51" s="487"/>
      <c r="G51" s="487"/>
      <c r="H51" s="488"/>
      <c r="I51" s="4">
        <v>153</v>
      </c>
      <c r="J51" s="8"/>
      <c r="K51" s="59">
        <f>IF(K50&gt;0,K50,0)</f>
        <v>1686491</v>
      </c>
      <c r="L51" s="59">
        <f>IF(L50&gt;0,L50,0)</f>
        <v>197806</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t="s">
        <v>3023</v>
      </c>
      <c r="K58" s="58">
        <v>1686491</v>
      </c>
      <c r="L58" s="58">
        <v>197806</v>
      </c>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t="s">
        <v>3023</v>
      </c>
      <c r="K69" s="71">
        <f>K58+K68</f>
        <v>1686491</v>
      </c>
      <c r="L69" s="71">
        <f>L58+L68</f>
        <v>197806</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28"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06531901714; KD ČISTOĆA d.o.o. RIJEKA</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06531901714; KD ČISTOĆA d.o.o. RIJEKA</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5" activePane="bottomLeft" state="frozen"/>
      <selection pane="topLeft" activeCell="A1" sqref="A1"/>
      <selection pane="bottomLeft" activeCell="L58" sqref="L58"/>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1</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1</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06531901714; KD ČISTOĆA d.o.o. RIJEKA</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v>93539400</v>
      </c>
      <c r="L10" s="60">
        <v>89677404</v>
      </c>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v>253874</v>
      </c>
      <c r="L12" s="60">
        <v>348788</v>
      </c>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v>3253892</v>
      </c>
      <c r="L14" s="60">
        <v>4074354</v>
      </c>
    </row>
    <row r="15" spans="1:12" s="3" customFormat="1" ht="13.5" customHeight="1">
      <c r="A15" s="499" t="s">
        <v>1048</v>
      </c>
      <c r="B15" s="500"/>
      <c r="C15" s="500"/>
      <c r="D15" s="500"/>
      <c r="E15" s="500"/>
      <c r="F15" s="500"/>
      <c r="G15" s="500"/>
      <c r="H15" s="500"/>
      <c r="I15" s="4">
        <v>6</v>
      </c>
      <c r="J15" s="139"/>
      <c r="K15" s="54">
        <f>SUM(K10:K14)</f>
        <v>97047166</v>
      </c>
      <c r="L15" s="59">
        <f>SUM(L10:L14)</f>
        <v>94100546</v>
      </c>
    </row>
    <row r="16" spans="1:12" s="3" customFormat="1" ht="13.5" customHeight="1">
      <c r="A16" s="477" t="s">
        <v>1494</v>
      </c>
      <c r="B16" s="478"/>
      <c r="C16" s="478"/>
      <c r="D16" s="478"/>
      <c r="E16" s="478"/>
      <c r="F16" s="478"/>
      <c r="G16" s="478"/>
      <c r="H16" s="478"/>
      <c r="I16" s="4">
        <v>7</v>
      </c>
      <c r="J16" s="139"/>
      <c r="K16" s="53">
        <v>32073482</v>
      </c>
      <c r="L16" s="60">
        <v>36072185</v>
      </c>
    </row>
    <row r="17" spans="1:12" s="3" customFormat="1" ht="13.5" customHeight="1">
      <c r="A17" s="477" t="s">
        <v>1495</v>
      </c>
      <c r="B17" s="478"/>
      <c r="C17" s="478"/>
      <c r="D17" s="478"/>
      <c r="E17" s="478"/>
      <c r="F17" s="478"/>
      <c r="G17" s="478"/>
      <c r="H17" s="478"/>
      <c r="I17" s="4">
        <v>8</v>
      </c>
      <c r="J17" s="139"/>
      <c r="K17" s="53">
        <v>30429298</v>
      </c>
      <c r="L17" s="60">
        <v>30774468</v>
      </c>
    </row>
    <row r="18" spans="1:12" s="3" customFormat="1" ht="13.5" customHeight="1">
      <c r="A18" s="477" t="s">
        <v>1496</v>
      </c>
      <c r="B18" s="478"/>
      <c r="C18" s="478"/>
      <c r="D18" s="478"/>
      <c r="E18" s="478"/>
      <c r="F18" s="478"/>
      <c r="G18" s="478"/>
      <c r="H18" s="478"/>
      <c r="I18" s="4">
        <v>9</v>
      </c>
      <c r="J18" s="139"/>
      <c r="K18" s="53">
        <v>926496</v>
      </c>
      <c r="L18" s="60">
        <v>1016490</v>
      </c>
    </row>
    <row r="19" spans="1:12" s="3" customFormat="1" ht="13.5" customHeight="1">
      <c r="A19" s="477" t="s">
        <v>1497</v>
      </c>
      <c r="B19" s="478"/>
      <c r="C19" s="478"/>
      <c r="D19" s="478"/>
      <c r="E19" s="478"/>
      <c r="F19" s="478"/>
      <c r="G19" s="478"/>
      <c r="H19" s="478"/>
      <c r="I19" s="4">
        <v>10</v>
      </c>
      <c r="J19" s="139"/>
      <c r="K19" s="53">
        <v>42012</v>
      </c>
      <c r="L19" s="60">
        <v>51561</v>
      </c>
    </row>
    <row r="20" spans="1:12" s="3" customFormat="1" ht="13.5" customHeight="1">
      <c r="A20" s="477" t="s">
        <v>1498</v>
      </c>
      <c r="B20" s="478"/>
      <c r="C20" s="478"/>
      <c r="D20" s="478"/>
      <c r="E20" s="478"/>
      <c r="F20" s="478"/>
      <c r="G20" s="478"/>
      <c r="H20" s="478"/>
      <c r="I20" s="4">
        <v>11</v>
      </c>
      <c r="J20" s="139"/>
      <c r="K20" s="53">
        <v>12093438</v>
      </c>
      <c r="L20" s="60">
        <v>17418389</v>
      </c>
    </row>
    <row r="21" spans="1:12" s="3" customFormat="1" ht="13.5" customHeight="1">
      <c r="A21" s="477" t="s">
        <v>1499</v>
      </c>
      <c r="B21" s="478"/>
      <c r="C21" s="478"/>
      <c r="D21" s="478"/>
      <c r="E21" s="478"/>
      <c r="F21" s="478"/>
      <c r="G21" s="478"/>
      <c r="H21" s="478"/>
      <c r="I21" s="4">
        <v>12</v>
      </c>
      <c r="J21" s="139"/>
      <c r="K21" s="53">
        <v>14713916</v>
      </c>
      <c r="L21" s="60">
        <v>15589946</v>
      </c>
    </row>
    <row r="22" spans="1:12" s="3" customFormat="1" ht="13.5" customHeight="1">
      <c r="A22" s="499" t="s">
        <v>1074</v>
      </c>
      <c r="B22" s="500"/>
      <c r="C22" s="500"/>
      <c r="D22" s="500"/>
      <c r="E22" s="500"/>
      <c r="F22" s="500"/>
      <c r="G22" s="500"/>
      <c r="H22" s="500"/>
      <c r="I22" s="4">
        <v>13</v>
      </c>
      <c r="J22" s="139"/>
      <c r="K22" s="54">
        <f>SUM(K16:K21)</f>
        <v>90278642</v>
      </c>
      <c r="L22" s="59">
        <f>SUM(L16:L21)</f>
        <v>100923039</v>
      </c>
    </row>
    <row r="23" spans="1:12" s="3" customFormat="1" ht="24.75" customHeight="1">
      <c r="A23" s="499" t="s">
        <v>327</v>
      </c>
      <c r="B23" s="594"/>
      <c r="C23" s="594"/>
      <c r="D23" s="594"/>
      <c r="E23" s="594"/>
      <c r="F23" s="594"/>
      <c r="G23" s="594"/>
      <c r="H23" s="595"/>
      <c r="I23" s="4">
        <v>14</v>
      </c>
      <c r="J23" s="139" t="s">
        <v>3024</v>
      </c>
      <c r="K23" s="54">
        <f>IF(K15&gt;K22,K15-K22,0)</f>
        <v>6768524</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6822493</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v>411856</v>
      </c>
      <c r="L26" s="60">
        <v>201550</v>
      </c>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v>39606344</v>
      </c>
      <c r="L30" s="60">
        <v>40619788</v>
      </c>
    </row>
    <row r="31" spans="1:12" s="3" customFormat="1" ht="13.5" customHeight="1">
      <c r="A31" s="499" t="s">
        <v>2013</v>
      </c>
      <c r="B31" s="500"/>
      <c r="C31" s="500"/>
      <c r="D31" s="500"/>
      <c r="E31" s="500"/>
      <c r="F31" s="500"/>
      <c r="G31" s="500"/>
      <c r="H31" s="500"/>
      <c r="I31" s="4">
        <v>21</v>
      </c>
      <c r="J31" s="139"/>
      <c r="K31" s="54">
        <f>SUM(K26:K30)</f>
        <v>40018200</v>
      </c>
      <c r="L31" s="59">
        <f>SUM(L26:L30)</f>
        <v>40821338</v>
      </c>
    </row>
    <row r="32" spans="1:12" s="3" customFormat="1" ht="13.5" customHeight="1">
      <c r="A32" s="477" t="s">
        <v>2696</v>
      </c>
      <c r="B32" s="478"/>
      <c r="C32" s="478"/>
      <c r="D32" s="478"/>
      <c r="E32" s="478"/>
      <c r="F32" s="478"/>
      <c r="G32" s="478"/>
      <c r="H32" s="478"/>
      <c r="I32" s="4">
        <v>22</v>
      </c>
      <c r="J32" s="139"/>
      <c r="K32" s="53">
        <v>34870458</v>
      </c>
      <c r="L32" s="60">
        <v>12390183</v>
      </c>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v>20606280</v>
      </c>
      <c r="L34" s="60">
        <v>15796784</v>
      </c>
    </row>
    <row r="35" spans="1:12" s="3" customFormat="1" ht="13.5" customHeight="1">
      <c r="A35" s="499" t="s">
        <v>1077</v>
      </c>
      <c r="B35" s="500"/>
      <c r="C35" s="500"/>
      <c r="D35" s="500"/>
      <c r="E35" s="500"/>
      <c r="F35" s="500"/>
      <c r="G35" s="500"/>
      <c r="H35" s="500"/>
      <c r="I35" s="4">
        <v>25</v>
      </c>
      <c r="J35" s="139"/>
      <c r="K35" s="54">
        <f>SUM(K32:K34)</f>
        <v>55476738</v>
      </c>
      <c r="L35" s="59">
        <f>SUM(L32:L34)</f>
        <v>28186967</v>
      </c>
    </row>
    <row r="36" spans="1:12" s="3" customFormat="1" ht="24.75" customHeight="1">
      <c r="A36" s="499" t="s">
        <v>1279</v>
      </c>
      <c r="B36" s="500"/>
      <c r="C36" s="500"/>
      <c r="D36" s="500"/>
      <c r="E36" s="500"/>
      <c r="F36" s="500"/>
      <c r="G36" s="500"/>
      <c r="H36" s="500"/>
      <c r="I36" s="4">
        <v>26</v>
      </c>
      <c r="J36" s="139" t="s">
        <v>3025</v>
      </c>
      <c r="K36" s="54">
        <f>IF(K31&gt;K35,K31-K35,0)</f>
        <v>0</v>
      </c>
      <c r="L36" s="59">
        <f>IF(L31&gt;L35,L31-L35,0)</f>
        <v>12634371</v>
      </c>
    </row>
    <row r="37" spans="1:12" s="3" customFormat="1" ht="24.75" customHeight="1">
      <c r="A37" s="499" t="s">
        <v>1280</v>
      </c>
      <c r="B37" s="500"/>
      <c r="C37" s="500"/>
      <c r="D37" s="500"/>
      <c r="E37" s="500"/>
      <c r="F37" s="500"/>
      <c r="G37" s="500"/>
      <c r="H37" s="500"/>
      <c r="I37" s="4">
        <v>27</v>
      </c>
      <c r="J37" s="139"/>
      <c r="K37" s="54">
        <f>IF(K35&gt;K31,K35-K31,0)</f>
        <v>15458538</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v>1382060</v>
      </c>
      <c r="L41" s="60">
        <v>3117680</v>
      </c>
    </row>
    <row r="42" spans="1:12" s="3" customFormat="1" ht="13.5" customHeight="1">
      <c r="A42" s="499" t="s">
        <v>1078</v>
      </c>
      <c r="B42" s="500"/>
      <c r="C42" s="500"/>
      <c r="D42" s="500"/>
      <c r="E42" s="500"/>
      <c r="F42" s="500"/>
      <c r="G42" s="500"/>
      <c r="H42" s="500"/>
      <c r="I42" s="4">
        <v>31</v>
      </c>
      <c r="J42" s="139" t="s">
        <v>3026</v>
      </c>
      <c r="K42" s="54">
        <f>SUM(K39:K41)</f>
        <v>1382060</v>
      </c>
      <c r="L42" s="59">
        <f>SUM(L39:L41)</f>
        <v>3117680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v>232218</v>
      </c>
      <c r="L45" s="60">
        <v>247448</v>
      </c>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v>1160000</v>
      </c>
      <c r="L47" s="60">
        <v>2940000</v>
      </c>
    </row>
    <row r="48" spans="1:12" s="3" customFormat="1" ht="13.5" customHeight="1">
      <c r="A48" s="499" t="s">
        <v>1921</v>
      </c>
      <c r="B48" s="500"/>
      <c r="C48" s="500"/>
      <c r="D48" s="500"/>
      <c r="E48" s="500"/>
      <c r="F48" s="500"/>
      <c r="G48" s="500"/>
      <c r="H48" s="500"/>
      <c r="I48" s="4">
        <v>37</v>
      </c>
      <c r="J48" s="139" t="s">
        <v>3026</v>
      </c>
      <c r="K48" s="54">
        <f>SUM(K43:K47)</f>
        <v>1392218</v>
      </c>
      <c r="L48" s="59">
        <f>SUM(L43:L47)</f>
        <v>3187448</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10158</v>
      </c>
      <c r="L50" s="59">
        <f>IF(L48&gt;L42,L48-L42,0)</f>
        <v>69768</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5742110</v>
      </c>
    </row>
    <row r="52" spans="1:12" s="3" customFormat="1" ht="13.5" customHeight="1">
      <c r="A52" s="499" t="s">
        <v>2866</v>
      </c>
      <c r="B52" s="500"/>
      <c r="C52" s="500"/>
      <c r="D52" s="500"/>
      <c r="E52" s="500"/>
      <c r="F52" s="500"/>
      <c r="G52" s="500"/>
      <c r="H52" s="500"/>
      <c r="I52" s="4">
        <v>41</v>
      </c>
      <c r="J52" s="139"/>
      <c r="K52" s="54">
        <f>IF(K24-K23+K37-K36+K50-K49&gt;0,K24-K23+K37-K36+K50-K49,0)</f>
        <v>8700172</v>
      </c>
      <c r="L52" s="59">
        <f>IF(L24-L23+L37-L36+L50-L49&gt;0,L24-L23+L37-L36+L50-L49,0)</f>
        <v>0</v>
      </c>
    </row>
    <row r="53" spans="1:12" s="3" customFormat="1" ht="13.5" customHeight="1">
      <c r="A53" s="499" t="s">
        <v>222</v>
      </c>
      <c r="B53" s="500"/>
      <c r="C53" s="500"/>
      <c r="D53" s="500"/>
      <c r="E53" s="500"/>
      <c r="F53" s="500"/>
      <c r="G53" s="500"/>
      <c r="H53" s="500"/>
      <c r="I53" s="4">
        <v>42</v>
      </c>
      <c r="J53" s="139"/>
      <c r="K53" s="53">
        <v>29726711</v>
      </c>
      <c r="L53" s="60">
        <v>21026539</v>
      </c>
    </row>
    <row r="54" spans="1:12" s="3" customFormat="1" ht="13.5" customHeight="1">
      <c r="A54" s="499" t="s">
        <v>943</v>
      </c>
      <c r="B54" s="500"/>
      <c r="C54" s="500"/>
      <c r="D54" s="500"/>
      <c r="E54" s="500"/>
      <c r="F54" s="500"/>
      <c r="G54" s="500"/>
      <c r="H54" s="500"/>
      <c r="I54" s="4">
        <v>43</v>
      </c>
      <c r="J54" s="139" t="s">
        <v>3027</v>
      </c>
      <c r="K54" s="53"/>
      <c r="L54" s="60">
        <v>5742110</v>
      </c>
    </row>
    <row r="55" spans="1:12" s="3" customFormat="1" ht="13.5" customHeight="1">
      <c r="A55" s="499" t="s">
        <v>944</v>
      </c>
      <c r="B55" s="500"/>
      <c r="C55" s="500"/>
      <c r="D55" s="500"/>
      <c r="E55" s="500"/>
      <c r="F55" s="500"/>
      <c r="G55" s="500"/>
      <c r="H55" s="500"/>
      <c r="I55" s="4">
        <v>44</v>
      </c>
      <c r="J55" s="139"/>
      <c r="K55" s="53">
        <v>8700172</v>
      </c>
      <c r="L55" s="60"/>
    </row>
    <row r="56" spans="1:12" s="3" customFormat="1" ht="13.5" customHeight="1">
      <c r="A56" s="519" t="s">
        <v>945</v>
      </c>
      <c r="B56" s="520"/>
      <c r="C56" s="520"/>
      <c r="D56" s="520"/>
      <c r="E56" s="520"/>
      <c r="F56" s="520"/>
      <c r="G56" s="520"/>
      <c r="H56" s="520"/>
      <c r="I56" s="15">
        <v>45</v>
      </c>
      <c r="J56" s="140"/>
      <c r="K56" s="55">
        <f>K53+K54-K55</f>
        <v>21026539</v>
      </c>
      <c r="L56" s="71">
        <f>L53+L54-L55</f>
        <v>26768649</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2015-03-30T10:30:00Z</cp:lastPrinted>
  <dcterms:created xsi:type="dcterms:W3CDTF">2008-10-17T11:51:54Z</dcterms:created>
  <dcterms:modified xsi:type="dcterms:W3CDTF">2015-06-08T10:25:08Z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